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897815DD-0FAE-4C0A-A6A1-5201B3CDE389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73" r:id="rId1"/>
    <sheet name="産業大分類" sheetId="5" r:id="rId2"/>
    <sheet name="産業中分類" sheetId="6" r:id="rId3"/>
    <sheet name="産業小分類" sheetId="7" r:id="rId4"/>
    <sheet name="東京都" sheetId="8" r:id="rId5"/>
    <sheet name="特別区部" sheetId="9" r:id="rId6"/>
    <sheet name="千代田区" sheetId="10" r:id="rId7"/>
    <sheet name="中央区" sheetId="11" r:id="rId8"/>
    <sheet name="港区" sheetId="12" r:id="rId9"/>
    <sheet name="新宿区" sheetId="13" r:id="rId10"/>
    <sheet name="文京区" sheetId="14" r:id="rId11"/>
    <sheet name="台東区" sheetId="15" r:id="rId12"/>
    <sheet name="墨田区" sheetId="16" r:id="rId13"/>
    <sheet name="江東区" sheetId="17" r:id="rId14"/>
    <sheet name="品川区" sheetId="18" r:id="rId15"/>
    <sheet name="目黒区" sheetId="19" r:id="rId16"/>
    <sheet name="大田区" sheetId="20" r:id="rId17"/>
    <sheet name="世田谷区" sheetId="21" r:id="rId18"/>
    <sheet name="渋谷区" sheetId="22" r:id="rId19"/>
    <sheet name="中野区" sheetId="23" r:id="rId20"/>
    <sheet name="杉並区" sheetId="24" r:id="rId21"/>
    <sheet name="豊島区" sheetId="25" r:id="rId22"/>
    <sheet name="北区" sheetId="26" r:id="rId23"/>
    <sheet name="荒川区" sheetId="27" r:id="rId24"/>
    <sheet name="板橋区" sheetId="28" r:id="rId25"/>
    <sheet name="練馬区" sheetId="29" r:id="rId26"/>
    <sheet name="足立区" sheetId="30" r:id="rId27"/>
    <sheet name="葛飾区" sheetId="31" r:id="rId28"/>
    <sheet name="江戸川区" sheetId="32" r:id="rId29"/>
    <sheet name="境界未定地域" sheetId="33" r:id="rId30"/>
    <sheet name="八王子市" sheetId="34" r:id="rId31"/>
    <sheet name="立川市" sheetId="35" r:id="rId32"/>
    <sheet name="武蔵野市" sheetId="36" r:id="rId33"/>
    <sheet name="三鷹市" sheetId="37" r:id="rId34"/>
    <sheet name="青梅市" sheetId="38" r:id="rId35"/>
    <sheet name="府中市" sheetId="39" r:id="rId36"/>
    <sheet name="昭島市" sheetId="40" r:id="rId37"/>
    <sheet name="調布市" sheetId="41" r:id="rId38"/>
    <sheet name="町田市" sheetId="42" r:id="rId39"/>
    <sheet name="小金井市" sheetId="43" r:id="rId40"/>
    <sheet name="小平市" sheetId="44" r:id="rId41"/>
    <sheet name="日野市" sheetId="45" r:id="rId42"/>
    <sheet name="東村山市" sheetId="46" r:id="rId43"/>
    <sheet name="国分寺市" sheetId="47" r:id="rId44"/>
    <sheet name="国立市" sheetId="48" r:id="rId45"/>
    <sheet name="福生市" sheetId="49" r:id="rId46"/>
    <sheet name="狛江市" sheetId="50" r:id="rId47"/>
    <sheet name="東大和市" sheetId="51" r:id="rId48"/>
    <sheet name="清瀬市" sheetId="52" r:id="rId49"/>
    <sheet name="東久留米市" sheetId="53" r:id="rId50"/>
    <sheet name="武蔵村山市" sheetId="54" r:id="rId51"/>
    <sheet name="多摩市" sheetId="55" r:id="rId52"/>
    <sheet name="稲城市" sheetId="56" r:id="rId53"/>
    <sheet name="羽村市" sheetId="57" r:id="rId54"/>
    <sheet name="あきる野市" sheetId="58" r:id="rId55"/>
    <sheet name="西東京市" sheetId="59" r:id="rId56"/>
    <sheet name="西多摩郡瑞穂町" sheetId="60" r:id="rId57"/>
    <sheet name="西多摩郡日の出町" sheetId="61" r:id="rId58"/>
    <sheet name="西多摩郡檜原村" sheetId="62" r:id="rId59"/>
    <sheet name="西多摩郡奥多摩町" sheetId="63" r:id="rId60"/>
    <sheet name="大島支庁大島町" sheetId="64" r:id="rId61"/>
    <sheet name="大島支庁利島村" sheetId="65" r:id="rId62"/>
    <sheet name="大島支庁新島村" sheetId="66" r:id="rId63"/>
    <sheet name="大島支庁神津島村" sheetId="67" r:id="rId64"/>
    <sheet name="三宅支庁三宅村" sheetId="68" r:id="rId65"/>
    <sheet name="三宅支庁御蔵島村" sheetId="69" r:id="rId66"/>
    <sheet name="八丈支庁八丈町" sheetId="70" r:id="rId67"/>
    <sheet name="八丈支庁青ヶ島村" sheetId="71" r:id="rId68"/>
    <sheet name="小笠原支庁小笠原村" sheetId="72" r:id="rId6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64" r:id="rId70"/>
    <pivotCache cacheId="2165" r:id="rId71"/>
    <pivotCache cacheId="2166" r:id="rId7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2" l="1"/>
  <c r="G21" i="72"/>
  <c r="E21" i="72"/>
  <c r="I20" i="72"/>
  <c r="G20" i="72"/>
  <c r="E20" i="72"/>
  <c r="C20" i="72"/>
  <c r="I21" i="71"/>
  <c r="G21" i="71"/>
  <c r="E21" i="71"/>
  <c r="I20" i="71"/>
  <c r="G20" i="71"/>
  <c r="E20" i="71"/>
  <c r="C20" i="71"/>
  <c r="I21" i="70"/>
  <c r="G21" i="70"/>
  <c r="E21" i="70"/>
  <c r="I20" i="70"/>
  <c r="G20" i="70"/>
  <c r="E20" i="70"/>
  <c r="C20" i="70"/>
  <c r="I21" i="69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<sst xmlns="http://schemas.openxmlformats.org/spreadsheetml/2006/main" count="9361" uniqueCount="414">
  <si>
    <t>13000 東京都</t>
  </si>
  <si>
    <t>13100 特別区部</t>
  </si>
  <si>
    <t>13101 千代田区</t>
  </si>
  <si>
    <t>13102 中央区</t>
  </si>
  <si>
    <t>13103 港区</t>
  </si>
  <si>
    <t>13104 新宿区</t>
  </si>
  <si>
    <t>13105 文京区</t>
  </si>
  <si>
    <t>13106 台東区</t>
  </si>
  <si>
    <t>13107 墨田区</t>
  </si>
  <si>
    <t>13108 江東区</t>
  </si>
  <si>
    <t>13109 品川区</t>
  </si>
  <si>
    <t>13110 目黒区</t>
  </si>
  <si>
    <t>13111 大田区</t>
  </si>
  <si>
    <t>13112 世田谷区</t>
  </si>
  <si>
    <t>13113 渋谷区</t>
  </si>
  <si>
    <t>13114 中野区</t>
  </si>
  <si>
    <t>13115 杉並区</t>
  </si>
  <si>
    <t>13116 豊島区</t>
  </si>
  <si>
    <t>13117 北区</t>
  </si>
  <si>
    <t>13118 荒川区</t>
  </si>
  <si>
    <t>13119 板橋区</t>
  </si>
  <si>
    <t>13120 練馬区</t>
  </si>
  <si>
    <t>13121 足立区</t>
  </si>
  <si>
    <t>13122 葛飾区</t>
  </si>
  <si>
    <t>13123 江戸川区</t>
  </si>
  <si>
    <t>13199 境界未定地域</t>
  </si>
  <si>
    <t>13201 八王子市</t>
  </si>
  <si>
    <t>13202 立川市</t>
  </si>
  <si>
    <t>13203 武蔵野市</t>
  </si>
  <si>
    <t>13204 三鷹市</t>
  </si>
  <si>
    <t>13205 青梅市</t>
  </si>
  <si>
    <t>13206 府中市</t>
  </si>
  <si>
    <t>13207 昭島市</t>
  </si>
  <si>
    <t>13208 調布市</t>
  </si>
  <si>
    <t>13209 町田市</t>
  </si>
  <si>
    <t>13210 小金井市</t>
  </si>
  <si>
    <t>13211 小平市</t>
  </si>
  <si>
    <t>13212 日野市</t>
  </si>
  <si>
    <t>13213 東村山市</t>
  </si>
  <si>
    <t>13214 国分寺市</t>
  </si>
  <si>
    <t>13215 国立市</t>
  </si>
  <si>
    <t>13218 福生市</t>
  </si>
  <si>
    <t>13219 狛江市</t>
  </si>
  <si>
    <t>13220 東大和市</t>
  </si>
  <si>
    <t>13221 清瀬市</t>
  </si>
  <si>
    <t>13222 東久留米市</t>
  </si>
  <si>
    <t>13223 武蔵村山市</t>
  </si>
  <si>
    <t>13224 多摩市</t>
  </si>
  <si>
    <t>13225 稲城市</t>
  </si>
  <si>
    <t>13227 羽村市</t>
  </si>
  <si>
    <t>13228 あきる野市</t>
  </si>
  <si>
    <t>13229 西東京市</t>
  </si>
  <si>
    <t>13303 西多摩郡瑞穂町</t>
  </si>
  <si>
    <t>13305 西多摩郡日の出町</t>
  </si>
  <si>
    <t>13307 西多摩郡檜原村</t>
  </si>
  <si>
    <t>13308 西多摩郡奥多摩町</t>
  </si>
  <si>
    <t>13361 大島支庁大島町</t>
  </si>
  <si>
    <t>13362 大島支庁利島村</t>
  </si>
  <si>
    <t>13363 大島支庁新島村</t>
  </si>
  <si>
    <t>13364 大島支庁神津島村</t>
  </si>
  <si>
    <t>13381 三宅支庁三宅村</t>
  </si>
  <si>
    <t>13382 三宅支庁御蔵島村</t>
  </si>
  <si>
    <t>13401 八丈支庁八丈町</t>
  </si>
  <si>
    <t>13402 八丈支庁青ヶ島村</t>
  </si>
  <si>
    <t>13421 小笠原支庁小笠原村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</si>
  <si>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</si>
  <si>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</si>
  <si>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</si>
  <si>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</si>
  <si>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</si>
  <si>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</si>
  <si>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</si>
  <si>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</si>
  <si>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</si>
  <si>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</si>
  <si>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</si>
  <si>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</si>
  <si>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</si>
  <si>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</si>
  <si>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</si>
  <si>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</si>
  <si>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</si>
  <si>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</si>
  <si>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</si>
  <si>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</si>
  <si>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</si>
  <si>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</si>
  <si>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</si>
  <si>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</si>
  <si>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</si>
  <si>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</si>
  <si>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39 情報サービス業</t>
  </si>
  <si>
    <t>41 映像・音声・文字情報制作業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</si>
  <si>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</si>
  <si>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</si>
  <si>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</si>
  <si>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</si>
  <si>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</si>
  <si>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</si>
  <si>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</si>
  <si>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</si>
  <si>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</si>
  <si>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</si>
  <si>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</si>
  <si>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</si>
  <si>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</si>
  <si>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</si>
  <si>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92 その他の事業サービス業</t>
  </si>
  <si>
    <t>15 印刷・同関連業</t>
  </si>
  <si>
    <t>52 飲食料品卸売業</t>
  </si>
  <si>
    <t>53 建築材料，鉱物・金属材料等卸売業</t>
  </si>
  <si>
    <t>67 保険業（保険媒介代理業，保険サービス業を含む）</t>
  </si>
  <si>
    <t>51 繊維・衣服等卸売業</t>
  </si>
  <si>
    <t>73 広告業</t>
  </si>
  <si>
    <t>80 娯楽業</t>
  </si>
  <si>
    <t>79 その他の生活関連サービス業</t>
  </si>
  <si>
    <t>20 なめし革・同製品・毛皮製造業</t>
  </si>
  <si>
    <t>32 その他の製造業</t>
  </si>
  <si>
    <t>11 繊維工業</t>
  </si>
  <si>
    <t>24 金属製品製造業</t>
  </si>
  <si>
    <t>25 はん用機械器具製造業</t>
  </si>
  <si>
    <t>26 生産用機械器具製造業</t>
  </si>
  <si>
    <t>40 インターネット附随サービス業</t>
  </si>
  <si>
    <t>43 道路旅客運送業</t>
  </si>
  <si>
    <t>18 プラスチック製品製造業（別掲を除く）</t>
  </si>
  <si>
    <t>16 化学工業</t>
  </si>
  <si>
    <t>23 非鉄金属製造業</t>
  </si>
  <si>
    <t>27 業務用機械器具製造業</t>
  </si>
  <si>
    <t>44 道路貨物運送業</t>
  </si>
  <si>
    <t>61 無店舗小売業</t>
  </si>
  <si>
    <t>77 持ち帰り・配達飲食サービス業</t>
  </si>
  <si>
    <t>90 機械等修理業（別掲を除く）</t>
  </si>
  <si>
    <t>85 社会保険・社会福祉・介護事業</t>
  </si>
  <si>
    <t>89 自動車整備業</t>
  </si>
  <si>
    <t>29 電気機械器具製造業</t>
  </si>
  <si>
    <t>31 輸送用機械器具製造業</t>
  </si>
  <si>
    <t>12 木材・木製品製造業（家具を除く）</t>
  </si>
  <si>
    <t>13 家具・装備品製造業</t>
  </si>
  <si>
    <t>09 食料品製造業</t>
  </si>
  <si>
    <t>22 鉄鋼業</t>
  </si>
  <si>
    <t>33 電気業</t>
  </si>
  <si>
    <t>36 水道業</t>
  </si>
  <si>
    <t>70 物品賃貸業</t>
  </si>
  <si>
    <t>71 学術・開発研究機関</t>
  </si>
  <si>
    <t>75 宿泊業</t>
  </si>
  <si>
    <t>91 職業紹介・労働者派遣業</t>
  </si>
  <si>
    <t>21 窯業・土石製品製造業</t>
  </si>
  <si>
    <t>28 電子部品・デバイス・電子回路製造業</t>
  </si>
  <si>
    <t>88 廃棄物処理業</t>
  </si>
  <si>
    <t>48 運輸に附帯するサービス業</t>
  </si>
  <si>
    <t>95 その他のサービス業</t>
  </si>
  <si>
    <t>10 飲料・たばこ・飼料製造業</t>
  </si>
  <si>
    <t>45 水運業</t>
  </si>
  <si>
    <t>38 放送業</t>
  </si>
  <si>
    <t>50 各種商品卸売業</t>
  </si>
  <si>
    <t>自治体</t>
  </si>
  <si>
    <t>産業中分類</t>
  </si>
  <si>
    <t>391 ソフトウェア業</t>
  </si>
  <si>
    <t>589 その他の飲食料品小売業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</si>
  <si>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</si>
  <si>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</si>
  <si>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</si>
  <si>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</si>
  <si>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</si>
  <si>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724 公認会計士事務所，税理士事務所</t>
  </si>
  <si>
    <t>728 経営コンサルタント業，純粋持株会社</t>
  </si>
  <si>
    <t>729 その他の専門サービス業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</si>
  <si>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</si>
  <si>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</si>
  <si>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</si>
  <si>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</si>
  <si>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</si>
  <si>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</si>
  <si>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</si>
  <si>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833 歯科診療所</t>
  </si>
  <si>
    <t>835 療術業</t>
  </si>
  <si>
    <t>929 他に分類されない事業サービス業</t>
  </si>
  <si>
    <t>559 他に分類されない卸売業</t>
  </si>
  <si>
    <t>151 印刷業</t>
  </si>
  <si>
    <t>414 出版業</t>
  </si>
  <si>
    <t>532 化学製品卸売業</t>
  </si>
  <si>
    <t>543 電気機械器具卸売業</t>
  </si>
  <si>
    <t>721 法律事務所，特許事務所</t>
  </si>
  <si>
    <t>731 広告業</t>
  </si>
  <si>
    <t>512 衣服卸売業</t>
  </si>
  <si>
    <t>521 農畜産物・水産物卸売業</t>
  </si>
  <si>
    <t>522 食料・飲料卸売業</t>
  </si>
  <si>
    <t>726 デザイン業</t>
  </si>
  <si>
    <t>321 貴金属・宝石製品製造業</t>
  </si>
  <si>
    <t>513 身の回り品卸売業</t>
  </si>
  <si>
    <t>579 その他の織物・衣服・身の回り品小売業</t>
  </si>
  <si>
    <t>767 喫茶店</t>
  </si>
  <si>
    <t>081 電気工事業</t>
  </si>
  <si>
    <t>116 外衣・シャツ製造業（和式を除く）</t>
  </si>
  <si>
    <t>541 産業機械器具卸売業</t>
  </si>
  <si>
    <t>078 床・内装工事業</t>
  </si>
  <si>
    <t>531 建築材料卸売業</t>
  </si>
  <si>
    <t>781 洗濯業</t>
  </si>
  <si>
    <t>603 医薬品・化粧品小売業</t>
  </si>
  <si>
    <t>573 婦人・子供服小売業</t>
  </si>
  <si>
    <t>066 建築リフォーム工事業</t>
  </si>
  <si>
    <t>083 管工事業（さく井工事業を除く）</t>
  </si>
  <si>
    <t>266 金属加工機械製造業</t>
  </si>
  <si>
    <t>401 インターネット附随サービス業</t>
  </si>
  <si>
    <t>693 駐車場業</t>
  </si>
  <si>
    <t>586 菓子・パン小売業</t>
  </si>
  <si>
    <t>064 建築工事業（木造建築工事業を除く）</t>
  </si>
  <si>
    <t>432 一般乗用旅客自動車運送業</t>
  </si>
  <si>
    <t>079 その他の職別工事業</t>
  </si>
  <si>
    <t>245 金属素形材製品製造業</t>
  </si>
  <si>
    <t>244 建設用・建築用金属製品製造業（製缶板金業を含む）</t>
  </si>
  <si>
    <t>550 管理，補助的経済活動を行う事業所</t>
  </si>
  <si>
    <t>572 男子服小売業</t>
  </si>
  <si>
    <t>574 靴・履物小売業</t>
  </si>
  <si>
    <t>608 写真機・時計・眼鏡小売業</t>
  </si>
  <si>
    <t>674 保険媒介代理業</t>
  </si>
  <si>
    <t>761 食堂，レストラン（専門料理店を除く）</t>
  </si>
  <si>
    <t>764 すし店</t>
  </si>
  <si>
    <t>789 その他の洗濯・理容・美容・浴場業</t>
  </si>
  <si>
    <t>799 他に分類されない生活関連サービス業</t>
  </si>
  <si>
    <t>062 土木工事業（舗装工事業を除く）</t>
  </si>
  <si>
    <t>591 自動車小売業</t>
  </si>
  <si>
    <t>853 児童福祉事業</t>
  </si>
  <si>
    <t>065 木造建築工事業</t>
  </si>
  <si>
    <t>891 自動車整備業</t>
  </si>
  <si>
    <t>823 学習塾</t>
  </si>
  <si>
    <t>077 塗装工事業</t>
  </si>
  <si>
    <t>071 大工工事業</t>
  </si>
  <si>
    <t>922 建物サービス業</t>
  </si>
  <si>
    <t>072 とび・土工・コンクリート工事業</t>
  </si>
  <si>
    <t>246 金属被覆・彫刻業，熱処理業（ほうろう鉄器を除く）</t>
  </si>
  <si>
    <t>269 その他の生産用機械・同部分品製造業</t>
  </si>
  <si>
    <t>329 他に分類されない製造業</t>
  </si>
  <si>
    <t>441 一般貨物自動車運送業</t>
  </si>
  <si>
    <t>593 機械器具小売業（自動車，自転車を除く）</t>
  </si>
  <si>
    <t>854 老人福祉・介護事業</t>
  </si>
  <si>
    <t>855 障害者福祉事業</t>
  </si>
  <si>
    <t>121 製材業，木製品製造業</t>
  </si>
  <si>
    <t>129 その他の木製品製造業（竹，とうを含む）</t>
  </si>
  <si>
    <t>331 電気業</t>
  </si>
  <si>
    <t>585 酒小売業</t>
  </si>
  <si>
    <t>605 燃料小売業</t>
  </si>
  <si>
    <t>751 旅館，ホテル</t>
  </si>
  <si>
    <t>752 簡易宿所</t>
  </si>
  <si>
    <t>759 その他の宿泊業</t>
  </si>
  <si>
    <t>763 そば・うどん店</t>
  </si>
  <si>
    <t>133 建具製造業</t>
  </si>
  <si>
    <t>583 食肉小売業</t>
  </si>
  <si>
    <t>809 その他の娯楽業</t>
  </si>
  <si>
    <t>821 社会教育</t>
  </si>
  <si>
    <t>581 各種食料品小売業</t>
  </si>
  <si>
    <t>606 書籍・文房具小売業</t>
  </si>
  <si>
    <t>098 動植物油脂製造業</t>
  </si>
  <si>
    <t>361 上水道業</t>
  </si>
  <si>
    <t>482 貨物運送取扱業（集配利用運送業を除く）</t>
  </si>
  <si>
    <t>881 一般廃棄物処理業</t>
  </si>
  <si>
    <t>951 集会場</t>
  </si>
  <si>
    <t>092 水産食料品製造業</t>
  </si>
  <si>
    <t>212 セメント・同製品製造業</t>
  </si>
  <si>
    <t>489 その他の運輸に附帯するサービス業</t>
  </si>
  <si>
    <t>602 じゅう器小売業</t>
  </si>
  <si>
    <t>075 左官工事業</t>
  </si>
  <si>
    <t>313 船舶製造・修理業，舶用機関製造業</t>
  </si>
  <si>
    <t>607 スポーツ用品・がん具・娯楽用品・楽器小売業</t>
  </si>
  <si>
    <t>097 パン・菓子製造業</t>
  </si>
  <si>
    <t>325 がん具・運動用具製造業</t>
  </si>
  <si>
    <t>452 沿海海運業</t>
  </si>
  <si>
    <t>771 持ち帰り飲食サービス業</t>
  </si>
  <si>
    <t>704 自動車賃貸業</t>
  </si>
  <si>
    <t>082 電気通信・信号装置工事業</t>
  </si>
  <si>
    <t>102 酒類製造業</t>
  </si>
  <si>
    <t>162 無機化学工業製品製造業</t>
  </si>
  <si>
    <t>063 舗装工事業</t>
  </si>
  <si>
    <t>611 通信販売・訪問販売小売業</t>
  </si>
  <si>
    <t>711 自然科学研究所</t>
  </si>
  <si>
    <t>805 公園，遊園地</t>
  </si>
  <si>
    <t>902 電気機械器具修理業</t>
  </si>
  <si>
    <t>産業小分類</t>
  </si>
  <si>
    <t>13000　東京都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</si>
  <si>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</si>
  <si>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</si>
  <si>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</si>
  <si>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</si>
  <si>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</si>
  <si>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13100　特別区部</t>
  </si>
  <si>
    <t>13101　千代田区</t>
  </si>
  <si>
    <t>13102　中央区</t>
  </si>
  <si>
    <t>13103　港区</t>
  </si>
  <si>
    <t>13104　新宿区</t>
  </si>
  <si>
    <t>13105　文京区</t>
  </si>
  <si>
    <t>13106　台東区</t>
  </si>
  <si>
    <t>13107　墨田区</t>
  </si>
  <si>
    <t>13108　江東区</t>
  </si>
  <si>
    <t>13109　品川区</t>
  </si>
  <si>
    <t>13110　目黒区</t>
  </si>
  <si>
    <t>13111　大田区</t>
  </si>
  <si>
    <t>13112　世田谷区</t>
  </si>
  <si>
    <t>13113　渋谷区</t>
  </si>
  <si>
    <t>13114　中野区</t>
  </si>
  <si>
    <t>13115　杉並区</t>
  </si>
  <si>
    <t>13116　豊島区</t>
  </si>
  <si>
    <t>13117　北区</t>
  </si>
  <si>
    <t>13118　荒川区</t>
  </si>
  <si>
    <t>13119　板橋区</t>
  </si>
  <si>
    <t>13120　練馬区</t>
  </si>
  <si>
    <t>13121　足立区</t>
  </si>
  <si>
    <t>13122　葛飾区</t>
  </si>
  <si>
    <t>13123　江戸川区</t>
  </si>
  <si>
    <t>13199　境界未定地域</t>
  </si>
  <si>
    <t>13201　八王子市</t>
  </si>
  <si>
    <t>13202　立川市</t>
  </si>
  <si>
    <t>13203　武蔵野市</t>
  </si>
  <si>
    <t>13204　三鷹市</t>
  </si>
  <si>
    <t>13205　青梅市</t>
  </si>
  <si>
    <t>13206　府中市</t>
  </si>
  <si>
    <t>13207　昭島市</t>
  </si>
  <si>
    <t>13208　調布市</t>
  </si>
  <si>
    <t>13209　町田市</t>
  </si>
  <si>
    <t>13210　小金井市</t>
  </si>
  <si>
    <t>13211　小平市</t>
  </si>
  <si>
    <t>13212　日野市</t>
  </si>
  <si>
    <t>13213　東村山市</t>
  </si>
  <si>
    <t>13214　国分寺市</t>
  </si>
  <si>
    <t>13215　国立市</t>
  </si>
  <si>
    <t>13218　福生市</t>
  </si>
  <si>
    <t>13219　狛江市</t>
  </si>
  <si>
    <t>13220　東大和市</t>
  </si>
  <si>
    <t>13221　清瀬市</t>
  </si>
  <si>
    <t>13222　東久留米市</t>
  </si>
  <si>
    <t>13223　武蔵村山市</t>
  </si>
  <si>
    <t>13224　多摩市</t>
  </si>
  <si>
    <t>13225　稲城市</t>
  </si>
  <si>
    <t>13227　羽村市</t>
  </si>
  <si>
    <t>13228　あきる野市</t>
  </si>
  <si>
    <t>13229　西東京市</t>
  </si>
  <si>
    <t>13303　西多摩郡瑞穂町</t>
  </si>
  <si>
    <t>13305　西多摩郡日の出町</t>
  </si>
  <si>
    <t>13307　西多摩郡檜原村</t>
  </si>
  <si>
    <t>13308　西多摩郡奥多摩町</t>
  </si>
  <si>
    <t>13361　大島支庁大島町</t>
  </si>
  <si>
    <t>13362　大島支庁利島村</t>
  </si>
  <si>
    <t>13363　大島支庁新島村</t>
  </si>
  <si>
    <t>13364　大島支庁神津島村</t>
  </si>
  <si>
    <t>13381　三宅支庁三宅村</t>
  </si>
  <si>
    <t>13382　三宅支庁御蔵島村</t>
  </si>
  <si>
    <t>13401　八丈支庁八丈町</t>
  </si>
  <si>
    <t>13402　八丈支庁青ヶ島村</t>
  </si>
  <si>
    <t>13421　小笠原支庁小笠原村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</si>
  <si>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</si>
  <si>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</si>
  <si>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</si>
  <si>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</si>
  <si>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</si>
  <si>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</si>
  <si>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</si>
  <si>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</si>
  <si>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</si>
  <si>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</si>
  <si>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</si>
  <si>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</si>
  <si>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</si>
  <si>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</si>
  <si>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</si>
  <si>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</si>
  <si>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</si>
  <si>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</si>
  <si>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</si>
  <si>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</si>
  <si>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</si>
  <si>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</si>
  <si>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</si>
  <si>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</si>
  <si>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</si>
  <si>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</si>
  <si>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</si>
  <si>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</si>
  <si>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</si>
  <si>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</si>
  <si>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</si>
  <si>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</si>
  <si>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</si>
  <si>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</si>
  <si>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</si>
  <si>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</si>
  <si>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</si>
  <si>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</si>
  <si>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</si>
  <si>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</si>
  <si>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</si>
  <si>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</si>
  <si>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</si>
  <si>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</si>
  <si>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</si>
  <si>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</si>
  <si>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</si>
  <si>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</si>
  <si>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</si>
  <si>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</si>
  <si>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</si>
  <si>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</si>
  <si>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</si>
  <si>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</si>
  <si>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</si>
  <si>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</si>
  <si>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大島支庁大島町</t>
  </si>
  <si>
    <t>大島支庁利島村</t>
  </si>
  <si>
    <t>大島支庁新島村</t>
  </si>
  <si>
    <t>大島支庁神津島村</t>
  </si>
  <si>
    <t>三宅支庁三宅村</t>
  </si>
  <si>
    <t>三宅支庁御蔵島村</t>
  </si>
  <si>
    <t>八丈支庁八丈町</t>
  </si>
  <si>
    <t>八丈支庁青ヶ島村</t>
  </si>
  <si>
    <t>小笠原支庁小笠原村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</si>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</sst>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6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onnections" Target="connection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pivotCacheDefinition" Target="pivotCache/pivotCacheDefinition1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9448032407" createdVersion="5" refreshedVersion="8" minRefreshableVersion="3" recordCount="975" xr:uid="{C793E99A-37B1-4D8A-8387-D4056B55A80D}">
  <cacheSource type="external" connectionId="1"/>
  <cacheFields count="11">
    <cacheField name="都道府県" numFmtId="0" sqlType="-9">
      <sharedItems count="1">
        <s v="13 東京都"/>
      </sharedItems>
    </cacheField>
    <cacheField name="自治体名" numFmtId="0" sqlType="-9">
      <sharedItems/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68841"/>
    </cacheField>
    <cacheField name="構成比" numFmtId="0" sqlType="3">
      <sharedItems containsSemiMixedTypes="0" containsString="0" containsNumber="1" minValue="0" maxValue="50"/>
    </cacheField>
    <cacheField name="総数（個人）" numFmtId="0" sqlType="4">
      <sharedItems containsSemiMixedTypes="0" containsString="0" containsNumber="1" containsInteger="1" minValue="0" maxValue="25336"/>
    </cacheField>
    <cacheField name="構成比（個人）" numFmtId="0" sqlType="3">
      <sharedItems containsSemiMixedTypes="0" containsString="0" containsNumber="1" minValue="0" maxValue="83.33"/>
    </cacheField>
    <cacheField name="総数（法人）" numFmtId="0" sqlType="4">
      <sharedItems containsSemiMixedTypes="0" containsString="0" containsNumber="1" containsInteger="1" minValue="0" maxValue="50212"/>
    </cacheField>
    <cacheField name="構成比（法人）" numFmtId="0" sqlType="3">
      <sharedItems containsSemiMixedTypes="0" containsString="0" containsNumber="1" minValue="0" maxValue="66.67"/>
    </cacheField>
    <cacheField name="総数（法人以外の団体）" numFmtId="0" sqlType="4">
      <sharedItems containsSemiMixedTypes="0" containsString="0" containsNumber="1" containsInteger="1" minValue="0" maxValue="97" count="25">
        <n v="0"/>
        <n v="6"/>
        <n v="5"/>
        <n v="2"/>
        <n v="20"/>
        <n v="3"/>
        <n v="31"/>
        <n v="42"/>
        <n v="60"/>
        <n v="12"/>
        <n v="28"/>
        <n v="16"/>
        <n v="97"/>
        <n v="4"/>
        <n v="18"/>
        <n v="36"/>
        <n v="49"/>
        <n v="8"/>
        <n v="17"/>
        <n v="13"/>
        <n v="78"/>
        <n v="1"/>
        <n v="9"/>
        <n v="7"/>
        <n v="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9574074075" createdVersion="5" refreshedVersion="8" minRefreshableVersion="3" recordCount="1347" xr:uid="{4054DD9F-1CFE-4DB1-BED6-006A8F831BED}">
  <cacheSource type="external" connectionId="2"/>
  <cacheFields count="14">
    <cacheField name="都道府県" numFmtId="0" sqlType="-9">
      <sharedItems count="1">
        <s v="13 東京都"/>
      </sharedItems>
    </cacheField>
    <cacheField name="自治体名" numFmtId="0" sqlType="-9">
      <sharedItems count="65">
        <s v="東京都"/>
        <s v="特別区部"/>
        <s v="千代田区"/>
        <s v="中央区"/>
        <s v="港区"/>
        <s v="新宿区"/>
        <s v="文京区"/>
        <s v="台東区"/>
        <s v="墨田区"/>
        <s v="江東区"/>
        <s v="品川区"/>
        <s v="目黒区"/>
        <s v="大田区"/>
        <s v="世田谷区"/>
        <s v="渋谷区"/>
        <s v="中野区"/>
        <s v="杉並区"/>
        <s v="豊島区"/>
        <s v="北区"/>
        <s v="荒川区"/>
        <s v="板橋区"/>
        <s v="練馬区"/>
        <s v="足立区"/>
        <s v="葛飾区"/>
        <s v="江戸川区"/>
        <s v="境界未定地域"/>
        <s v="八王子市"/>
        <s v="立川市"/>
        <s v="武蔵野市"/>
        <s v="三鷹市"/>
        <s v="青梅市"/>
        <s v="府中市"/>
        <s v="昭島市"/>
        <s v="調布市"/>
        <s v="町田市"/>
        <s v="小金井市"/>
        <s v="小平市"/>
        <s v="日野市"/>
        <s v="東村山市"/>
        <s v="国分寺市"/>
        <s v="国立市"/>
        <s v="福生市"/>
        <s v="狛江市"/>
        <s v="東大和市"/>
        <s v="清瀬市"/>
        <s v="東久留米市"/>
        <s v="武蔵村山市"/>
        <s v="多摩市"/>
        <s v="稲城市"/>
        <s v="羽村市"/>
        <s v="あきる野市"/>
        <s v="西東京市"/>
        <s v="西多摩郡瑞穂町"/>
        <s v="西多摩郡日の出町"/>
        <s v="西多摩郡檜原村"/>
        <s v="西多摩郡奥多摩町"/>
        <s v="大島支庁大島町"/>
        <s v="大島支庁利島村"/>
        <s v="大島支庁新島村"/>
        <s v="大島支庁神津島村"/>
        <s v="三宅支庁三宅村"/>
        <s v="三宅支庁御蔵島村"/>
        <s v="八丈支庁八丈町"/>
        <s v="八丈支庁青ヶ島村"/>
        <s v="小笠原支庁小笠原村"/>
      </sharedItems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産業分類コード" numFmtId="0" sqlType="-8">
      <sharedItems count="67">
        <s v="69"/>
        <s v="76"/>
        <s v="72"/>
        <s v="78"/>
        <s v="60"/>
        <s v="83"/>
        <s v="07"/>
        <s v="58"/>
        <s v="06"/>
        <s v="82"/>
        <s v="08"/>
        <s v="57"/>
        <s v="68"/>
        <s v="74"/>
        <s v="92"/>
        <s v="55"/>
        <s v="54"/>
        <s v="39"/>
        <s v="59"/>
        <s v="41"/>
        <s v="15"/>
        <s v="53"/>
        <s v="67"/>
        <s v="52"/>
        <s v="51"/>
        <s v="80"/>
        <s v="73"/>
        <s v="79"/>
        <s v="32"/>
        <s v="20"/>
        <s v="24"/>
        <s v="11"/>
        <s v="26"/>
        <s v="25"/>
        <s v="40"/>
        <s v="43"/>
        <s v="18"/>
        <s v="90"/>
        <s v="16"/>
        <s v="23"/>
        <s v="27"/>
        <s v="44"/>
        <s v="61"/>
        <s v="77"/>
        <s v="85"/>
        <s v="89"/>
        <s v="29"/>
        <s v="31"/>
        <s v="12"/>
        <s v="13"/>
        <s v="75"/>
        <s v="33"/>
        <s v="09"/>
        <s v="22"/>
        <s v="36"/>
        <s v="70"/>
        <s v="71"/>
        <s v="91"/>
        <s v="21"/>
        <s v="28"/>
        <s v="88"/>
        <s v="48"/>
        <s v="95"/>
        <s v="45"/>
        <s v="10"/>
        <s v="38"/>
        <s v="50"/>
      </sharedItems>
    </cacheField>
    <cacheField name="産業分類" numFmtId="0" sqlType="-9">
      <sharedItems count="67">
        <s v="不動産賃貸業・管理業"/>
        <s v="飲食店"/>
        <s v="専門サービス業（他に分類されないもの）"/>
        <s v="洗濯・理容・美容・浴場業"/>
        <s v="その他の小売業"/>
        <s v="医療業"/>
        <s v="職別工事業（設備工事業を除く）"/>
        <s v="飲食料品小売業"/>
        <s v="総合工事業"/>
        <s v="その他の教育，学習支援業"/>
        <s v="設備工事業"/>
        <s v="織物・衣服・身の回り品小売業"/>
        <s v="不動産取引業"/>
        <s v="技術サービス業（他に分類されないもの）"/>
        <s v="その他の事業サービス業"/>
        <s v="その他の卸売業"/>
        <s v="機械器具卸売業"/>
        <s v="情報サービス業"/>
        <s v="機械器具小売業"/>
        <s v="映像・音声・文字情報制作業"/>
        <s v="印刷・同関連業"/>
        <s v="建築材料，鉱物・金属材料等卸売業"/>
        <s v="保険業（保険媒介代理業，保険サービス業を含む）"/>
        <s v="飲食料品卸売業"/>
        <s v="繊維・衣服等卸売業"/>
        <s v="娯楽業"/>
        <s v="広告業"/>
        <s v="その他の生活関連サービス業"/>
        <s v="その他の製造業"/>
        <s v="なめし革・同製品・毛皮製造業"/>
        <s v="金属製品製造業"/>
        <s v="繊維工業"/>
        <s v="生産用機械器具製造業"/>
        <s v="はん用機械器具製造業"/>
        <s v="インターネット附随サービス業"/>
        <s v="道路旅客運送業"/>
        <s v="プラスチック製品製造業（別掲を除く）"/>
        <s v="機械等修理業（別掲を除く）"/>
        <s v="化学工業"/>
        <s v="非鉄金属製造業"/>
        <s v="業務用機械器具製造業"/>
        <s v="道路貨物運送業"/>
        <s v="無店舗小売業"/>
        <s v="持ち帰り・配達飲食サービス業"/>
        <s v="社会保険・社会福祉・介護事業"/>
        <s v="自動車整備業"/>
        <s v="電気機械器具製造業"/>
        <s v="輸送用機械器具製造業"/>
        <s v="木材・木製品製造業（家具を除く）"/>
        <s v="家具・装備品製造業"/>
        <s v="宿泊業"/>
        <s v="電気業"/>
        <s v="食料品製造業"/>
        <s v="鉄鋼業"/>
        <s v="水道業"/>
        <s v="物品賃貸業"/>
        <s v="学術・開発研究機関"/>
        <s v="職業紹介・労働者派遣業"/>
        <s v="窯業・土石製品製造業"/>
        <s v="電子部品・デバイス・電子回路製造業"/>
        <s v="廃棄物処理業"/>
        <s v="運輸に附帯するサービス業"/>
        <s v="その他のサービス業"/>
        <s v="水運業"/>
        <s v="飲料・たばこ・飼料製造業"/>
        <s v="放送業"/>
        <s v="各種商品卸売業"/>
      </sharedItems>
    </cacheField>
    <cacheField name="産業中分類" numFmtId="0" sqlType="-9">
      <sharedItems count="67">
        <s v="69 不動産賃貸業・管理業"/>
        <s v="76 飲食店"/>
        <s v="72 専門サービス業（他に分類されないもの）"/>
        <s v="78 洗濯・理容・美容・浴場業"/>
        <s v="60 その他の小売業"/>
        <s v="83 医療業"/>
        <s v="07 職別工事業（設備工事業を除く）"/>
        <s v="58 飲食料品小売業"/>
        <s v="06 総合工事業"/>
        <s v="82 その他の教育，学習支援業"/>
        <s v="08 設備工事業"/>
        <s v="57 織物・衣服・身の回り品小売業"/>
        <s v="68 不動産取引業"/>
        <s v="74 技術サービス業（他に分類されないもの）"/>
        <s v="92 その他の事業サービス業"/>
        <s v="55 その他の卸売業"/>
        <s v="54 機械器具卸売業"/>
        <s v="39 情報サービス業"/>
        <s v="59 機械器具小売業"/>
        <s v="41 映像・音声・文字情報制作業"/>
        <s v="15 印刷・同関連業"/>
        <s v="53 建築材料，鉱物・金属材料等卸売業"/>
        <s v="67 保険業（保険媒介代理業，保険サービス業を含む）"/>
        <s v="52 飲食料品卸売業"/>
        <s v="51 繊維・衣服等卸売業"/>
        <s v="80 娯楽業"/>
        <s v="73 広告業"/>
        <s v="79 その他の生活関連サービス業"/>
        <s v="32 その他の製造業"/>
        <s v="20 なめし革・同製品・毛皮製造業"/>
        <s v="24 金属製品製造業"/>
        <s v="11 繊維工業"/>
        <s v="26 生産用機械器具製造業"/>
        <s v="25 はん用機械器具製造業"/>
        <s v="40 インターネット附随サービス業"/>
        <s v="43 道路旅客運送業"/>
        <s v="18 プラスチック製品製造業（別掲を除く）"/>
        <s v="90 機械等修理業（別掲を除く）"/>
        <s v="16 化学工業"/>
        <s v="23 非鉄金属製造業"/>
        <s v="27 業務用機械器具製造業"/>
        <s v="44 道路貨物運送業"/>
        <s v="61 無店舗小売業"/>
        <s v="77 持ち帰り・配達飲食サービス業"/>
        <s v="85 社会保険・社会福祉・介護事業"/>
        <s v="89 自動車整備業"/>
        <s v="29 電気機械器具製造業"/>
        <s v="31 輸送用機械器具製造業"/>
        <s v="12 木材・木製品製造業（家具を除く）"/>
        <s v="13 家具・装備品製造業"/>
        <s v="75 宿泊業"/>
        <s v="33 電気業"/>
        <s v="09 食料品製造業"/>
        <s v="22 鉄鋼業"/>
        <s v="36 水道業"/>
        <s v="70 物品賃貸業"/>
        <s v="71 学術・開発研究機関"/>
        <s v="91 職業紹介・労働者派遣業"/>
        <s v="21 窯業・土石製品製造業"/>
        <s v="28 電子部品・デバイス・電子回路製造業"/>
        <s v="88 廃棄物処理業"/>
        <s v="48 運輸に附帯するサービス業"/>
        <s v="95 その他のサービス業"/>
        <s v="45 水運業"/>
        <s v="10 飲料・たばこ・飼料製造業"/>
        <s v="38 放送業"/>
        <s v="50 各種商品卸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40762" count="528">
        <n v="40762"/>
        <n v="35240"/>
        <n v="23480"/>
        <n v="22930"/>
        <n v="17019"/>
        <n v="12659"/>
        <n v="11915"/>
        <n v="10951"/>
        <n v="10726"/>
        <n v="9900"/>
        <n v="9176"/>
        <n v="8346"/>
        <n v="8177"/>
        <n v="7946"/>
        <n v="7233"/>
        <n v="6897"/>
        <n v="5689"/>
        <n v="5562"/>
        <n v="5135"/>
        <n v="4735"/>
        <n v="32800"/>
        <n v="28461"/>
        <n v="20487"/>
        <n v="16695"/>
        <n v="13199"/>
        <n v="9658"/>
        <n v="8430"/>
        <n v="8288"/>
        <n v="6971"/>
        <n v="6832"/>
        <n v="6807"/>
        <n v="6717"/>
        <n v="6596"/>
        <n v="6175"/>
        <n v="6129"/>
        <n v="6007"/>
        <n v="4736"/>
        <n v="4637"/>
        <n v="4246"/>
        <n v="4242"/>
        <n v="2589"/>
        <n v="1415"/>
        <n v="970"/>
        <n v="582"/>
        <n v="544"/>
        <n v="511"/>
        <n v="452"/>
        <n v="437"/>
        <n v="409"/>
        <n v="368"/>
        <n v="334"/>
        <n v="327"/>
        <n v="324"/>
        <n v="287"/>
        <n v="280"/>
        <n v="250"/>
        <n v="249"/>
        <n v="202"/>
        <n v="183"/>
        <n v="181"/>
        <n v="2114"/>
        <n v="1872"/>
        <n v="1325"/>
        <n v="669"/>
        <n v="516"/>
        <n v="485"/>
        <n v="457"/>
        <n v="413"/>
        <n v="402"/>
        <n v="400"/>
        <n v="370"/>
        <n v="358"/>
        <n v="351"/>
        <n v="348"/>
        <n v="342"/>
        <n v="336"/>
        <n v="298"/>
        <n v="279"/>
        <n v="269"/>
        <n v="262"/>
        <n v="2762"/>
        <n v="1977"/>
        <n v="1917"/>
        <n v="799"/>
        <n v="642"/>
        <n v="605"/>
        <n v="598"/>
        <n v="518"/>
        <n v="510"/>
        <n v="499"/>
        <n v="439"/>
        <n v="410"/>
        <n v="398"/>
        <n v="355"/>
        <n v="338"/>
        <n v="325"/>
        <n v="320"/>
        <n v="261"/>
        <n v="247"/>
        <n v="2284"/>
        <n v="2068"/>
        <n v="1844"/>
        <n v="700"/>
        <n v="670"/>
        <n v="555"/>
        <n v="495"/>
        <n v="443"/>
        <n v="433"/>
        <n v="411"/>
        <n v="404"/>
        <n v="396"/>
        <n v="349"/>
        <n v="266"/>
        <n v="264"/>
        <n v="215"/>
        <n v="213"/>
        <n v="1270"/>
        <n v="756"/>
        <n v="715"/>
        <n v="375"/>
        <n v="340"/>
        <n v="242"/>
        <n v="229"/>
        <n v="223"/>
        <n v="208"/>
        <n v="207"/>
        <n v="203"/>
        <n v="174"/>
        <n v="157"/>
        <n v="156"/>
        <n v="148"/>
        <n v="128"/>
        <n v="112"/>
        <n v="109"/>
        <n v="1570"/>
        <n v="1414"/>
        <n v="890"/>
        <n v="813"/>
        <n v="674"/>
        <n v="483"/>
        <n v="473"/>
        <n v="434"/>
        <n v="421"/>
        <n v="384"/>
        <n v="319"/>
        <n v="313"/>
        <n v="267"/>
        <n v="245"/>
        <n v="244"/>
        <n v="230"/>
        <n v="218"/>
        <n v="975"/>
        <n v="859"/>
        <n v="488"/>
        <n v="395"/>
        <n v="393"/>
        <n v="318"/>
        <n v="299"/>
        <n v="284"/>
        <n v="277"/>
        <n v="238"/>
        <n v="233"/>
        <n v="199"/>
        <n v="186"/>
        <n v="168"/>
        <n v="163"/>
        <n v="985"/>
        <n v="821"/>
        <n v="634"/>
        <n v="466"/>
        <n v="378"/>
        <n v="366"/>
        <n v="317"/>
        <n v="310"/>
        <n v="265"/>
        <n v="260"/>
        <n v="259"/>
        <n v="255"/>
        <n v="252"/>
        <n v="194"/>
        <n v="180"/>
        <n v="178"/>
        <n v="162"/>
        <n v="1665"/>
        <n v="1221"/>
        <n v="601"/>
        <n v="449"/>
        <n v="382"/>
        <n v="315"/>
        <n v="268"/>
        <n v="234"/>
        <n v="201"/>
        <n v="189"/>
        <n v="182"/>
        <n v="159"/>
        <n v="1148"/>
        <n v="781"/>
        <n v="576"/>
        <n v="534"/>
        <n v="426"/>
        <n v="312"/>
        <n v="231"/>
        <n v="222"/>
        <n v="197"/>
        <n v="166"/>
        <n v="146"/>
        <n v="141"/>
        <n v="125"/>
        <n v="115"/>
        <n v="113"/>
        <n v="111"/>
        <n v="108"/>
        <n v="2256"/>
        <n v="1776"/>
        <n v="1129"/>
        <n v="753"/>
        <n v="658"/>
        <n v="628"/>
        <n v="607"/>
        <n v="589"/>
        <n v="587"/>
        <n v="557"/>
        <n v="539"/>
        <n v="367"/>
        <n v="333"/>
        <n v="309"/>
        <n v="297"/>
        <n v="286"/>
        <n v="273"/>
        <n v="2057"/>
        <n v="1582"/>
        <n v="1451"/>
        <n v="1099"/>
        <n v="967"/>
        <n v="838"/>
        <n v="667"/>
        <n v="614"/>
        <n v="586"/>
        <n v="506"/>
        <n v="498"/>
        <n v="482"/>
        <n v="436"/>
        <n v="337"/>
        <n v="295"/>
        <n v="226"/>
        <n v="217"/>
        <n v="1754"/>
        <n v="1693"/>
        <n v="1494"/>
        <n v="1086"/>
        <n v="869"/>
        <n v="858"/>
        <n v="595"/>
        <n v="526"/>
        <n v="522"/>
        <n v="505"/>
        <n v="491"/>
        <n v="464"/>
        <n v="391"/>
        <n v="386"/>
        <n v="322"/>
        <n v="292"/>
        <n v="285"/>
        <n v="219"/>
        <n v="1404"/>
        <n v="855"/>
        <n v="613"/>
        <n v="417"/>
        <n v="204"/>
        <n v="167"/>
        <n v="129"/>
        <n v="117"/>
        <n v="107"/>
        <n v="106"/>
        <n v="103"/>
        <n v="2142"/>
        <n v="1555"/>
        <n v="956"/>
        <n v="731"/>
        <n v="584"/>
        <n v="359"/>
        <n v="303"/>
        <n v="288"/>
        <n v="228"/>
        <n v="179"/>
        <n v="172"/>
        <n v="165"/>
        <n v="150"/>
        <n v="1245"/>
        <n v="1031"/>
        <n v="918"/>
        <n v="490"/>
        <n v="294"/>
        <n v="240"/>
        <n v="221"/>
        <n v="196"/>
        <n v="155"/>
        <n v="154"/>
        <n v="144"/>
        <n v="1056"/>
        <n v="814"/>
        <n v="241"/>
        <n v="214"/>
        <n v="175"/>
        <n v="147"/>
        <n v="136"/>
        <n v="126"/>
        <n v="105"/>
        <n v="104"/>
        <n v="100"/>
        <n v="552"/>
        <n v="520"/>
        <n v="193"/>
        <n v="158"/>
        <n v="152"/>
        <n v="138"/>
        <n v="123"/>
        <n v="91"/>
        <n v="83"/>
        <n v="77"/>
        <n v="1111"/>
        <n v="1090"/>
        <n v="856"/>
        <n v="514"/>
        <n v="512"/>
        <n v="461"/>
        <n v="270"/>
        <n v="191"/>
        <n v="1620"/>
        <n v="1069"/>
        <n v="1050"/>
        <n v="747"/>
        <n v="645"/>
        <n v="622"/>
        <n v="621"/>
        <n v="608"/>
        <n v="538"/>
        <n v="528"/>
        <n v="374"/>
        <n v="305"/>
        <n v="253"/>
        <n v="1370"/>
        <n v="1327"/>
        <n v="1096"/>
        <n v="929"/>
        <n v="703"/>
        <n v="639"/>
        <n v="596"/>
        <n v="551"/>
        <n v="456"/>
        <n v="371"/>
        <n v="339"/>
        <n v="282"/>
        <n v="254"/>
        <n v="227"/>
        <n v="220"/>
        <n v="216"/>
        <n v="1116"/>
        <n v="1049"/>
        <n v="817"/>
        <n v="519"/>
        <n v="423"/>
        <n v="420"/>
        <n v="328"/>
        <n v="321"/>
        <n v="205"/>
        <n v="187"/>
        <n v="151"/>
        <n v="1266"/>
        <n v="1025"/>
        <n v="904"/>
        <n v="749"/>
        <n v="422"/>
        <n v="406"/>
        <n v="190"/>
        <n v="32"/>
        <n v="30"/>
        <n v="16"/>
        <n v="8"/>
        <n v="7"/>
        <n v="4"/>
        <n v="3"/>
        <n v="2"/>
        <n v="1"/>
        <n v="939"/>
        <n v="879"/>
        <n v="844"/>
        <n v="562"/>
        <n v="508"/>
        <n v="460"/>
        <n v="394"/>
        <n v="352"/>
        <n v="248"/>
        <n v="200"/>
        <n v="192"/>
        <n v="184"/>
        <n v="171"/>
        <n v="140"/>
        <n v="390"/>
        <n v="300"/>
        <n v="211"/>
        <n v="206"/>
        <n v="149"/>
        <n v="145"/>
        <n v="143"/>
        <n v="118"/>
        <n v="89"/>
        <n v="88"/>
        <n v="80"/>
        <n v="76"/>
        <n v="73"/>
        <n v="58"/>
        <n v="55"/>
        <n v="54"/>
        <n v="722"/>
        <n v="489"/>
        <n v="385"/>
        <n v="296"/>
        <n v="209"/>
        <n v="101"/>
        <n v="71"/>
        <n v="69"/>
        <n v="68"/>
        <n v="65"/>
        <n v="52"/>
        <n v="46"/>
        <n v="44"/>
        <n v="709"/>
        <n v="236"/>
        <n v="212"/>
        <n v="135"/>
        <n v="119"/>
        <n v="99"/>
        <n v="70"/>
        <n v="63"/>
        <n v="60"/>
        <n v="50"/>
        <n v="37"/>
        <n v="36"/>
        <n v="35"/>
        <n v="33"/>
        <n v="177"/>
        <n v="160"/>
        <n v="153"/>
        <n v="142"/>
        <n v="98"/>
        <n v="97"/>
        <n v="95"/>
        <n v="87"/>
        <n v="84"/>
        <n v="57"/>
        <n v="53"/>
        <n v="45"/>
        <n v="41"/>
        <n v="34"/>
        <n v="62"/>
        <n v="224"/>
        <n v="90"/>
        <n v="61"/>
        <n v="43"/>
        <n v="31"/>
        <n v="29"/>
        <n v="28"/>
        <n v="27"/>
        <n v="26"/>
        <n v="304"/>
        <n v="170"/>
        <n v="78"/>
        <n v="64"/>
        <n v="468"/>
        <n v="369"/>
        <n v="361"/>
        <n v="331"/>
        <n v="275"/>
        <n v="94"/>
        <n v="232"/>
        <n v="102"/>
        <n v="51"/>
        <n v="49"/>
        <n v="47"/>
        <n v="25"/>
        <n v="24"/>
        <n v="243"/>
        <n v="134"/>
        <n v="48"/>
        <n v="40"/>
        <n v="39"/>
        <n v="195"/>
        <n v="121"/>
        <n v="86"/>
        <n v="75"/>
        <n v="74"/>
        <n v="93"/>
        <n v="85"/>
        <n v="22"/>
        <n v="164"/>
        <n v="120"/>
        <n v="82"/>
        <n v="79"/>
        <n v="42"/>
        <n v="38"/>
        <n v="20"/>
        <n v="81"/>
        <n v="67"/>
        <n v="21"/>
        <n v="14"/>
        <n v="12"/>
        <n v="11"/>
        <n v="10"/>
        <n v="198"/>
        <n v="56"/>
        <n v="19"/>
        <n v="18"/>
        <n v="15"/>
        <n v="133"/>
        <n v="17"/>
        <n v="131"/>
        <n v="23"/>
        <n v="13"/>
        <n v="130"/>
        <n v="139"/>
        <n v="92"/>
        <n v="66"/>
        <n v="59"/>
        <n v="9"/>
        <n v="6"/>
        <n v="5"/>
        <n v="96"/>
      </sharedItems>
    </cacheField>
    <cacheField name="構成比" numFmtId="0" sqlType="3">
      <sharedItems containsSemiMixedTypes="0" containsString="0" containsNumber="1" minValue="0.64" maxValue="39.1" count="595">
        <n v="12"/>
        <n v="10.38"/>
        <n v="6.91"/>
        <n v="6.75"/>
        <n v="5.01"/>
        <n v="3.73"/>
        <n v="3.51"/>
        <n v="3.22"/>
        <n v="3.16"/>
        <n v="2.91"/>
        <n v="2.7"/>
        <n v="2.46"/>
        <n v="2.41"/>
        <n v="2.34"/>
        <n v="2.13"/>
        <n v="2.0299999999999998"/>
        <n v="1.67"/>
        <n v="1.64"/>
        <n v="1.51"/>
        <n v="1.39"/>
        <n v="12.19"/>
        <n v="10.57"/>
        <n v="7.61"/>
        <n v="6.2"/>
        <n v="4.9000000000000004"/>
        <n v="3.59"/>
        <n v="3.13"/>
        <n v="3.08"/>
        <n v="2.59"/>
        <n v="2.54"/>
        <n v="2.5299999999999998"/>
        <n v="2.5"/>
        <n v="2.4500000000000002"/>
        <n v="2.29"/>
        <n v="2.2799999999999998"/>
        <n v="2.23"/>
        <n v="1.76"/>
        <n v="1.72"/>
        <n v="1.58"/>
        <n v="19.13"/>
        <n v="10.46"/>
        <n v="7.17"/>
        <n v="4.3"/>
        <n v="4.0199999999999996"/>
        <n v="3.78"/>
        <n v="3.34"/>
        <n v="3.23"/>
        <n v="3.02"/>
        <n v="2.72"/>
        <n v="2.4700000000000002"/>
        <n v="2.42"/>
        <n v="2.39"/>
        <n v="2.12"/>
        <n v="2.0699999999999998"/>
        <n v="1.85"/>
        <n v="1.84"/>
        <n v="1.49"/>
        <n v="1.35"/>
        <n v="1.34"/>
        <n v="14.45"/>
        <n v="12.8"/>
        <n v="9.06"/>
        <n v="4.57"/>
        <n v="3.53"/>
        <n v="3.32"/>
        <n v="3.12"/>
        <n v="2.82"/>
        <n v="2.75"/>
        <n v="2.74"/>
        <n v="2.4"/>
        <n v="2.38"/>
        <n v="2.2999999999999998"/>
        <n v="2.04"/>
        <n v="1.91"/>
        <n v="1.79"/>
        <n v="15.75"/>
        <n v="11.27"/>
        <n v="10.93"/>
        <n v="4.5599999999999996"/>
        <n v="3.66"/>
        <n v="3.45"/>
        <n v="3.41"/>
        <n v="2.95"/>
        <n v="2.85"/>
        <n v="2.27"/>
        <n v="2.02"/>
        <n v="1.93"/>
        <n v="1.82"/>
        <n v="1.59"/>
        <n v="1.41"/>
        <n v="14.56"/>
        <n v="13.18"/>
        <n v="11.75"/>
        <n v="4.46"/>
        <n v="4.2699999999999996"/>
        <n v="3.54"/>
        <n v="3.3"/>
        <n v="2.76"/>
        <n v="2.62"/>
        <n v="2.58"/>
        <n v="2.52"/>
        <n v="2.2200000000000002"/>
        <n v="1.71"/>
        <n v="1.7"/>
        <n v="1.68"/>
        <n v="1.37"/>
        <n v="1.36"/>
        <n v="16.690000000000001"/>
        <n v="9.94"/>
        <n v="9.4"/>
        <n v="4.93"/>
        <n v="4.47"/>
        <n v="4.4400000000000004"/>
        <n v="3.5"/>
        <n v="3.18"/>
        <n v="3.01"/>
        <n v="2.93"/>
        <n v="2.73"/>
        <n v="2.67"/>
        <n v="2.06"/>
        <n v="2.0499999999999998"/>
        <n v="1.95"/>
        <n v="1.47"/>
        <n v="1.43"/>
        <n v="11.93"/>
        <n v="10.75"/>
        <n v="6.76"/>
        <n v="6.18"/>
        <n v="5.12"/>
        <n v="3.67"/>
        <n v="3.6"/>
        <n v="3.2"/>
        <n v="3.06"/>
        <n v="2.92"/>
        <n v="1.86"/>
        <n v="1.75"/>
        <n v="1.69"/>
        <n v="1.66"/>
        <n v="10.71"/>
        <n v="9.44"/>
        <n v="5.36"/>
        <n v="4.34"/>
        <n v="4.32"/>
        <n v="3.49"/>
        <n v="3.29"/>
        <n v="3.27"/>
        <n v="3.04"/>
        <n v="2.56"/>
        <n v="2.19"/>
        <n v="10.15"/>
        <n v="8.4600000000000009"/>
        <n v="6.53"/>
        <n v="4.8"/>
        <n v="4.07"/>
        <n v="3.96"/>
        <n v="3.89"/>
        <n v="3.77"/>
        <n v="3.19"/>
        <n v="2.68"/>
        <n v="2.63"/>
        <n v="2.6"/>
        <n v="2"/>
        <n v="1.83"/>
        <n v="16.04"/>
        <n v="11.76"/>
        <n v="6.11"/>
        <n v="5.79"/>
        <n v="4.33"/>
        <n v="3.68"/>
        <n v="3.03"/>
        <n v="2.77"/>
        <n v="2.69"/>
        <n v="2.36"/>
        <n v="2.35"/>
        <n v="2.25"/>
        <n v="2.2400000000000002"/>
        <n v="2.21"/>
        <n v="1.94"/>
        <n v="1.53"/>
        <n v="1.5"/>
        <n v="15.57"/>
        <n v="10.59"/>
        <n v="7.81"/>
        <n v="7.24"/>
        <n v="5.78"/>
        <n v="4.2300000000000004"/>
        <n v="1.98"/>
        <n v="1.56"/>
        <n v="13.24"/>
        <n v="10.42"/>
        <n v="6.63"/>
        <n v="4.42"/>
        <n v="3.86"/>
        <n v="3.72"/>
        <n v="3.69"/>
        <n v="3.56"/>
        <n v="3.46"/>
        <n v="2.15"/>
        <n v="1.81"/>
        <n v="1.74"/>
        <n v="1.6"/>
        <n v="1.55"/>
        <n v="12.72"/>
        <n v="9.7799999999999994"/>
        <n v="8.9700000000000006"/>
        <n v="6.79"/>
        <n v="5.98"/>
        <n v="5.18"/>
        <n v="4.12"/>
        <n v="3.8"/>
        <n v="3.62"/>
        <n v="2.98"/>
        <n v="2.11"/>
        <n v="2.1"/>
        <n v="2.08"/>
        <n v="1.4"/>
        <n v="11.17"/>
        <n v="10.78"/>
        <n v="9.51"/>
        <n v="5.53"/>
        <n v="5.46"/>
        <n v="3.79"/>
        <n v="3.35"/>
        <n v="3.21"/>
        <n v="2.4900000000000002"/>
        <n v="1.38"/>
        <n v="18.850000000000001"/>
        <n v="11.48"/>
        <n v="8.23"/>
        <n v="5.89"/>
        <n v="5.6"/>
        <n v="3.55"/>
        <n v="3.1"/>
        <n v="2.79"/>
        <n v="1.99"/>
        <n v="1.73"/>
        <n v="1.57"/>
        <n v="1.44"/>
        <n v="1.42"/>
        <n v="17.59"/>
        <n v="12.77"/>
        <n v="7.85"/>
        <n v="6.68"/>
        <n v="6"/>
        <n v="3.38"/>
        <n v="2.66"/>
        <n v="2.37"/>
        <n v="1.87"/>
        <n v="1.23"/>
        <n v="12.64"/>
        <n v="10.47"/>
        <n v="9.32"/>
        <n v="6.24"/>
        <n v="4.9800000000000004"/>
        <n v="3.97"/>
        <n v="2.99"/>
        <n v="2.44"/>
        <n v="2.16"/>
        <n v="1.46"/>
        <n v="14.82"/>
        <n v="11.43"/>
        <n v="8.17"/>
        <n v="5.31"/>
        <n v="4.3899999999999997"/>
        <n v="3.75"/>
        <n v="3"/>
        <n v="1.77"/>
        <n v="10.29"/>
        <n v="9.6999999999999993"/>
        <n v="6.69"/>
        <n v="5.37"/>
        <n v="4.8499999999999996"/>
        <n v="3.52"/>
        <n v="3.37"/>
        <n v="2.83"/>
        <n v="2.57"/>
        <n v="2.1800000000000002"/>
        <n v="10.67"/>
        <n v="8.2200000000000006"/>
        <n v="4.92"/>
        <n v="4.43"/>
        <n v="4"/>
        <n v="3.63"/>
        <n v="2.2000000000000002"/>
        <n v="2.09"/>
        <n v="1.88"/>
        <n v="1.52"/>
        <n v="8.43"/>
        <n v="8.2799999999999994"/>
        <n v="5.09"/>
        <n v="4.79"/>
        <n v="4.24"/>
        <n v="4.16"/>
        <n v="1.63"/>
        <n v="1.61"/>
        <n v="9.64"/>
        <n v="9.34"/>
        <n v="7.71"/>
        <n v="6.54"/>
        <n v="4.95"/>
        <n v="4.5"/>
        <n v="4.1900000000000004"/>
        <n v="3.88"/>
        <n v="2.64"/>
        <n v="2.61"/>
        <n v="11.06"/>
        <n v="10.39"/>
        <n v="8.09"/>
        <n v="5.14"/>
        <n v="3.25"/>
        <n v="1.89"/>
        <n v="1.78"/>
        <n v="10.53"/>
        <n v="8.5299999999999994"/>
        <n v="7.52"/>
        <n v="6.23"/>
        <n v="4.59"/>
        <n v="4.3099999999999996"/>
        <n v="23.88"/>
        <n v="22.39"/>
        <n v="11.94"/>
        <n v="5.97"/>
        <n v="5.22"/>
        <n v="0.75"/>
        <n v="9.67"/>
        <n v="9.0500000000000007"/>
        <n v="8.69"/>
        <n v="5.23"/>
        <n v="4.74"/>
        <n v="4.0599999999999996"/>
        <n v="2.5499999999999998"/>
        <n v="1.48"/>
        <n v="10.61"/>
        <n v="10.17"/>
        <n v="8.16"/>
        <n v="5.74"/>
        <n v="4.05"/>
        <n v="3.94"/>
        <n v="3.81"/>
        <n v="17.010000000000002"/>
        <n v="11.52"/>
        <n v="9.07"/>
        <n v="7.66"/>
        <n v="6.97"/>
        <n v="5.1100000000000003"/>
        <n v="4.62"/>
        <n v="3.39"/>
        <n v="1.96"/>
        <n v="1.08"/>
        <n v="1.04"/>
        <n v="23.49"/>
        <n v="7.82"/>
        <n v="7.02"/>
        <n v="5.5"/>
        <n v="3.28"/>
        <n v="2.3199999999999998"/>
        <n v="1.19"/>
        <n v="1.1599999999999999"/>
        <n v="1.0900000000000001"/>
        <n v="11.2"/>
        <n v="7.08"/>
        <n v="6.4"/>
        <n v="6.12"/>
        <n v="5.68"/>
        <n v="3.92"/>
        <n v="3.48"/>
        <n v="3.36"/>
        <n v="1.8"/>
        <n v="1.28"/>
        <n v="1.2"/>
        <n v="14.05"/>
        <n v="9.1199999999999992"/>
        <n v="8.58"/>
        <n v="6.49"/>
        <n v="5.51"/>
        <n v="4.7300000000000004"/>
        <n v="1.27"/>
        <n v="12.21"/>
        <n v="9.76"/>
        <n v="9.11"/>
        <n v="5.29"/>
        <n v="4.96"/>
        <n v="4.91"/>
        <n v="4.53"/>
        <n v="3.71"/>
        <n v="3.33"/>
        <n v="3.11"/>
        <n v="11.98"/>
        <n v="10.210000000000001"/>
        <n v="8.39"/>
        <n v="5.71"/>
        <n v="5.13"/>
        <n v="4.6900000000000004"/>
        <n v="4.09"/>
        <n v="2.84"/>
        <n v="10.66"/>
        <n v="8.3800000000000008"/>
        <n v="7.45"/>
        <n v="5.88"/>
        <n v="5.75"/>
        <n v="5.27"/>
        <n v="5.07"/>
        <n v="4.38"/>
        <n v="13.93"/>
        <n v="9.9700000000000006"/>
        <n v="9.61"/>
        <n v="6.13"/>
        <n v="5.83"/>
        <n v="4.68"/>
        <n v="3.9"/>
        <n v="2.94"/>
        <n v="1.92"/>
        <n v="11.49"/>
        <n v="9.9"/>
        <n v="9.43"/>
        <n v="5.67"/>
        <n v="5.59"/>
        <n v="5.2"/>
        <n v="4.58"/>
        <n v="4.1500000000000004"/>
        <n v="1.24"/>
        <n v="15.5"/>
        <n v="8.7200000000000006"/>
        <n v="7.69"/>
        <n v="6.71"/>
        <n v="4.7699999999999996"/>
        <n v="4.6500000000000004"/>
        <n v="4.54"/>
        <n v="4.22"/>
        <n v="2.96"/>
        <n v="1.54"/>
        <n v="11.53"/>
        <n v="10.23"/>
        <n v="7.07"/>
        <n v="5.49"/>
        <n v="4.97"/>
        <n v="3.95"/>
        <n v="1.3"/>
        <n v="1.1200000000000001"/>
        <n v="1.02"/>
        <n v="12.04"/>
        <n v="11.16"/>
        <n v="8.5500000000000007"/>
        <n v="6.26"/>
        <n v="5.42"/>
        <n v="5.32"/>
        <n v="2.97"/>
        <n v="2.87"/>
        <n v="1.62"/>
        <n v="1.25"/>
        <n v="14.43"/>
        <n v="10.92"/>
        <n v="9.82"/>
        <n v="6.7"/>
        <n v="6.5"/>
        <n v="5.33"/>
        <n v="14.84"/>
        <n v="11.72"/>
        <n v="8.7100000000000009"/>
        <n v="7.2"/>
        <n v="5.48"/>
        <n v="4.41"/>
        <n v="3.98"/>
        <n v="3.76"/>
        <n v="3.44"/>
        <n v="2.8"/>
        <n v="2.2599999999999998"/>
        <n v="1.29"/>
        <n v="1.18"/>
        <n v="15.9"/>
        <n v="10.039999999999999"/>
        <n v="8.76"/>
        <n v="6.51"/>
        <n v="6.27"/>
        <n v="4.66"/>
        <n v="2.81"/>
        <n v="2.65"/>
        <n v="1.45"/>
        <n v="9.39"/>
        <n v="7.15"/>
        <n v="6.94"/>
        <n v="6.19"/>
        <n v="5.24"/>
        <n v="2.86"/>
        <n v="1.97"/>
        <n v="12.1"/>
        <n v="10.9"/>
        <n v="6.56"/>
        <n v="5.72"/>
        <n v="5.63"/>
        <n v="5.17"/>
        <n v="5.08"/>
        <n v="3.42"/>
        <n v="2.31"/>
        <n v="1.1100000000000001"/>
        <n v="11.09"/>
        <n v="8.9"/>
        <n v="8.3000000000000007"/>
        <n v="7.1"/>
        <n v="6.17"/>
        <n v="6.06"/>
        <n v="1.1499999999999999"/>
        <n v="10.27"/>
        <n v="7.98"/>
        <n v="7.75"/>
        <n v="4.87"/>
        <n v="2.14"/>
        <n v="1.26"/>
        <n v="10.51"/>
        <n v="9.81"/>
        <n v="6.3"/>
        <n v="6.07"/>
        <n v="5.43"/>
        <n v="4.1399999999999997"/>
        <n v="4.03"/>
        <n v="3.74"/>
        <n v="3.15"/>
        <n v="3.09"/>
        <n v="17"/>
        <n v="7.44"/>
        <n v="7.06"/>
        <n v="4.4800000000000004"/>
        <n v="3.87"/>
        <n v="3.26"/>
        <n v="1.21"/>
        <n v="19.18"/>
        <n v="12.23"/>
        <n v="4.8899999999999997"/>
        <n v="4.21"/>
        <n v="4.1100000000000003"/>
        <n v="1.17"/>
        <n v="0.98"/>
        <n v="8.24"/>
        <n v="4.78"/>
        <n v="3.24"/>
        <n v="11.4"/>
        <n v="5.38"/>
        <n v="4.8600000000000003"/>
        <n v="4.6100000000000003"/>
        <n v="2.4300000000000002"/>
        <n v="8.14"/>
        <n v="7.93"/>
        <n v="6.58"/>
        <n v="4.7"/>
        <n v="4.49"/>
        <n v="7.89"/>
        <n v="6.73"/>
        <n v="6.43"/>
        <n v="5.56"/>
        <n v="13.51"/>
        <n v="12.61"/>
        <n v="9.01"/>
        <n v="8.11"/>
        <n v="6.31"/>
        <n v="5.41"/>
        <n v="0.9"/>
        <n v="19.38"/>
        <n v="10.85"/>
        <n v="6.98"/>
        <n v="2.33"/>
        <n v="0.78"/>
        <n v="8"/>
        <n v="1.33"/>
        <n v="1.07"/>
        <n v="28.57"/>
        <n v="14.29"/>
        <n v="9.52"/>
        <n v="4.76"/>
        <n v="39.1"/>
        <n v="6.41"/>
        <n v="0.64"/>
        <n v="32.81"/>
        <n v="12.5"/>
        <n v="7.03"/>
        <n v="5.47"/>
        <n v="3.91"/>
        <n v="16.48"/>
        <n v="15.34"/>
        <n v="9.66"/>
        <n v="6.82"/>
        <n v="6.25"/>
        <n v="1.1399999999999999"/>
        <n v="37.5"/>
        <n v="18.75"/>
        <n v="26.82"/>
        <n v="8.94"/>
        <n v="7.26"/>
        <n v="2.5099999999999998"/>
        <n v="33.33"/>
        <n v="16.670000000000002"/>
        <n v="8.33"/>
        <n v="26.18"/>
        <n v="13.61"/>
        <n v="3.14"/>
        <n v="1.05"/>
      </sharedItems>
    </cacheField>
    <cacheField name="総数（個人）" numFmtId="0" sqlType="4">
      <sharedItems containsSemiMixedTypes="0" containsString="0" containsNumber="1" containsInteger="1" minValue="0" maxValue="24663" count="329">
        <n v="11051"/>
        <n v="24663"/>
        <n v="10581"/>
        <n v="16101"/>
        <n v="6562"/>
        <n v="9974"/>
        <n v="2156"/>
        <n v="5649"/>
        <n v="1248"/>
        <n v="5279"/>
        <n v="905"/>
        <n v="2582"/>
        <n v="473"/>
        <n v="1778"/>
        <n v="318"/>
        <n v="487"/>
        <n v="228"/>
        <n v="72"/>
        <n v="1840"/>
        <n v="215"/>
        <n v="8692"/>
        <n v="19296"/>
        <n v="9158"/>
        <n v="11392"/>
        <n v="4941"/>
        <n v="7494"/>
        <n v="4211"/>
        <n v="1252"/>
        <n v="629"/>
        <n v="3313"/>
        <n v="2018"/>
        <n v="392"/>
        <n v="542"/>
        <n v="257"/>
        <n v="1246"/>
        <n v="377"/>
        <n v="167"/>
        <n v="49"/>
        <n v="173"/>
        <n v="605"/>
        <n v="1427"/>
        <n v="195"/>
        <n v="409"/>
        <n v="105"/>
        <n v="7"/>
        <n v="5"/>
        <n v="16"/>
        <n v="6"/>
        <n v="2"/>
        <n v="38"/>
        <n v="27"/>
        <n v="35"/>
        <n v="187"/>
        <n v="33"/>
        <n v="12"/>
        <n v="4"/>
        <n v="3"/>
        <n v="1123"/>
        <n v="894"/>
        <n v="147"/>
        <n v="19"/>
        <n v="193"/>
        <n v="285"/>
        <n v="22"/>
        <n v="41"/>
        <n v="0"/>
        <n v="1"/>
        <n v="73"/>
        <n v="1107"/>
        <n v="132"/>
        <n v="835"/>
        <n v="123"/>
        <n v="273"/>
        <n v="358"/>
        <n v="14"/>
        <n v="48"/>
        <n v="8"/>
        <n v="70"/>
        <n v="17"/>
        <n v="43"/>
        <n v="57"/>
        <n v="9"/>
        <n v="1444"/>
        <n v="508"/>
        <n v="962"/>
        <n v="398"/>
        <n v="191"/>
        <n v="385"/>
        <n v="81"/>
        <n v="26"/>
        <n v="63"/>
        <n v="106"/>
        <n v="23"/>
        <n v="413"/>
        <n v="499"/>
        <n v="316"/>
        <n v="151"/>
        <n v="205"/>
        <n v="120"/>
        <n v="121"/>
        <n v="44"/>
        <n v="11"/>
        <n v="21"/>
        <n v="15"/>
        <n v="58"/>
        <n v="1095"/>
        <n v="429"/>
        <n v="61"/>
        <n v="310"/>
        <n v="179"/>
        <n v="32"/>
        <n v="189"/>
        <n v="109"/>
        <n v="20"/>
        <n v="55"/>
        <n v="131"/>
        <n v="252"/>
        <n v="39"/>
        <n v="731"/>
        <n v="260"/>
        <n v="365"/>
        <n v="158"/>
        <n v="182"/>
        <n v="56"/>
        <n v="165"/>
        <n v="232"/>
        <n v="84"/>
        <n v="25"/>
        <n v="60"/>
        <n v="104"/>
        <n v="682"/>
        <n v="443"/>
        <n v="163"/>
        <n v="139"/>
        <n v="204"/>
        <n v="246"/>
        <n v="18"/>
        <n v="13"/>
        <n v="67"/>
        <n v="753"/>
        <n v="842"/>
        <n v="428"/>
        <n v="206"/>
        <n v="170"/>
        <n v="54"/>
        <n v="47"/>
        <n v="71"/>
        <n v="10"/>
        <n v="24"/>
        <n v="253"/>
        <n v="497"/>
        <n v="351"/>
        <n v="130"/>
        <n v="149"/>
        <n v="103"/>
        <n v="241"/>
        <n v="108"/>
        <n v="78"/>
        <n v="29"/>
        <n v="751"/>
        <n v="1331"/>
        <n v="792"/>
        <n v="338"/>
        <n v="135"/>
        <n v="323"/>
        <n v="477"/>
        <n v="208"/>
        <n v="94"/>
        <n v="68"/>
        <n v="202"/>
        <n v="113"/>
        <n v="79"/>
        <n v="88"/>
        <n v="80"/>
        <n v="282"/>
        <n v="1138"/>
        <n v="994"/>
        <n v="366"/>
        <n v="664"/>
        <n v="360"/>
        <n v="322"/>
        <n v="181"/>
        <n v="86"/>
        <n v="117"/>
        <n v="98"/>
        <n v="586"/>
        <n v="172"/>
        <n v="779"/>
        <n v="602"/>
        <n v="82"/>
        <n v="185"/>
        <n v="359"/>
        <n v="156"/>
        <n v="99"/>
        <n v="553"/>
        <n v="653"/>
        <n v="438"/>
        <n v="256"/>
        <n v="137"/>
        <n v="31"/>
        <n v="114"/>
        <n v="69"/>
        <n v="1230"/>
        <n v="649"/>
        <n v="347"/>
        <n v="384"/>
        <n v="275"/>
        <n v="235"/>
        <n v="36"/>
        <n v="30"/>
        <n v="146"/>
        <n v="62"/>
        <n v="689"/>
        <n v="495"/>
        <n v="421"/>
        <n v="174"/>
        <n v="346"/>
        <n v="464"/>
        <n v="646"/>
        <n v="184"/>
        <n v="209"/>
        <n v="258"/>
        <n v="129"/>
        <n v="110"/>
        <n v="42"/>
        <n v="450"/>
        <n v="240"/>
        <n v="271"/>
        <n v="145"/>
        <n v="169"/>
        <n v="112"/>
        <n v="87"/>
        <n v="46"/>
        <n v="889"/>
        <n v="307"/>
        <n v="635"/>
        <n v="237"/>
        <n v="387"/>
        <n v="220"/>
        <n v="213"/>
        <n v="59"/>
        <n v="371"/>
        <n v="827"/>
        <n v="74"/>
        <n v="496"/>
        <n v="342"/>
        <n v="249"/>
        <n v="225"/>
        <n v="89"/>
        <n v="100"/>
        <n v="200"/>
        <n v="510"/>
        <n v="1115"/>
        <n v="862"/>
        <n v="343"/>
        <n v="400"/>
        <n v="369"/>
        <n v="196"/>
        <n v="37"/>
        <n v="51"/>
        <n v="107"/>
        <n v="118"/>
        <n v="876"/>
        <n v="643"/>
        <n v="233"/>
        <n v="269"/>
        <n v="126"/>
        <n v="138"/>
        <n v="66"/>
        <n v="28"/>
        <n v="280"/>
        <n v="791"/>
        <n v="733"/>
        <n v="242"/>
        <n v="50"/>
        <n v="327"/>
        <n v="229"/>
        <n v="148"/>
        <n v="224"/>
        <n v="90"/>
        <n v="283"/>
        <n v="701"/>
        <n v="661"/>
        <n v="85"/>
        <n v="136"/>
        <n v="201"/>
        <n v="65"/>
        <n v="251"/>
        <n v="291"/>
        <n v="157"/>
        <n v="116"/>
        <n v="64"/>
        <n v="76"/>
        <n v="217"/>
        <n v="125"/>
        <n v="115"/>
        <n v="52"/>
        <n v="231"/>
        <n v="264"/>
        <n v="166"/>
        <n v="391"/>
        <n v="91"/>
        <n v="199"/>
        <n v="287"/>
        <n v="266"/>
        <n v="53"/>
        <n v="162"/>
        <n v="197"/>
        <n v="141"/>
        <n v="192"/>
        <n v="77"/>
        <n v="134"/>
        <n v="140"/>
        <n v="219"/>
        <n v="34"/>
        <n v="160"/>
        <n v="127"/>
        <n v="207"/>
        <n v="111"/>
        <n v="45"/>
        <n v="97"/>
        <n v="93"/>
        <n v="40"/>
        <n v="102"/>
        <n v="96"/>
        <n v="75"/>
        <n v="168"/>
        <n v="211"/>
        <n v="83"/>
      </sharedItems>
    </cacheField>
    <cacheField name="構成比（個人）" numFmtId="0" sqlType="3">
      <sharedItems containsSemiMixedTypes="0" containsString="0" containsNumber="1" minValue="0" maxValue="53.11" count="630">
        <n v="9.57"/>
        <n v="21.35"/>
        <n v="9.16"/>
        <n v="13.94"/>
        <n v="5.68"/>
        <n v="8.6300000000000008"/>
        <n v="1.87"/>
        <n v="4.8899999999999997"/>
        <n v="1.08"/>
        <n v="4.57"/>
        <n v="0.78"/>
        <n v="2.2400000000000002"/>
        <n v="0.41"/>
        <n v="1.54"/>
        <n v="0.28000000000000003"/>
        <n v="0.42"/>
        <n v="0.2"/>
        <n v="0.06"/>
        <n v="1.59"/>
        <n v="0.19"/>
        <n v="9.98"/>
        <n v="22.16"/>
        <n v="10.52"/>
        <n v="13.08"/>
        <n v="5.67"/>
        <n v="8.61"/>
        <n v="4.84"/>
        <n v="1.44"/>
        <n v="0.72"/>
        <n v="3.8"/>
        <n v="2.3199999999999998"/>
        <n v="0.45"/>
        <n v="0.62"/>
        <n v="0.3"/>
        <n v="1.43"/>
        <n v="0.43"/>
        <n v="0.69"/>
        <n v="53.11"/>
        <n v="7.26"/>
        <n v="15.22"/>
        <n v="3.91"/>
        <n v="0.26"/>
        <n v="0.6"/>
        <n v="0.22"/>
        <n v="7.0000000000000007E-2"/>
        <n v="1.41"/>
        <n v="1"/>
        <n v="1.3"/>
        <n v="6.96"/>
        <n v="1.23"/>
        <n v="0.15"/>
        <n v="0.11"/>
        <n v="35.07"/>
        <n v="27.92"/>
        <n v="4.59"/>
        <n v="0.59"/>
        <n v="0.37"/>
        <n v="6.03"/>
        <n v="8.9"/>
        <n v="1.28"/>
        <n v="0"/>
        <n v="0.09"/>
        <n v="0.03"/>
        <n v="2.2799999999999998"/>
        <n v="1.03"/>
        <n v="34.090000000000003"/>
        <n v="4.07"/>
        <n v="25.72"/>
        <n v="3.79"/>
        <n v="8.41"/>
        <n v="11.03"/>
        <n v="1.48"/>
        <n v="0.25"/>
        <n v="2.16"/>
        <n v="0.52"/>
        <n v="1.32"/>
        <n v="1.76"/>
        <n v="31.07"/>
        <n v="10.93"/>
        <n v="20.7"/>
        <n v="8.56"/>
        <n v="4.1100000000000003"/>
        <n v="8.2799999999999994"/>
        <n v="1.74"/>
        <n v="0.56000000000000005"/>
        <n v="0.34"/>
        <n v="1.36"/>
        <n v="3.16"/>
        <n v="0.13"/>
        <n v="0.57999999999999996"/>
        <n v="0.49"/>
        <n v="0.75"/>
        <n v="16.75"/>
        <n v="20.239999999999998"/>
        <n v="12.81"/>
        <n v="6.12"/>
        <n v="9.25"/>
        <n v="8.31"/>
        <n v="4.87"/>
        <n v="4.91"/>
        <n v="1.78"/>
        <n v="0.65"/>
        <n v="0.85"/>
        <n v="0.61"/>
        <n v="0.04"/>
        <n v="2.35"/>
        <n v="0.24"/>
        <n v="26.16"/>
        <n v="10.25"/>
        <n v="1.46"/>
        <n v="7.41"/>
        <n v="8.5500000000000007"/>
        <n v="4.28"/>
        <n v="7.6"/>
        <n v="0.76"/>
        <n v="4.5199999999999996"/>
        <n v="2.6"/>
        <n v="0.48"/>
        <n v="1.31"/>
        <n v="3.13"/>
        <n v="6.02"/>
        <n v="0.98"/>
        <n v="0.28999999999999998"/>
        <n v="0.93"/>
        <n v="22.33"/>
        <n v="7.94"/>
        <n v="11.15"/>
        <n v="4.83"/>
        <n v="4"/>
        <n v="5.56"/>
        <n v="1.71"/>
        <n v="5.04"/>
        <n v="7.09"/>
        <n v="1.47"/>
        <n v="2.57"/>
        <n v="0.79"/>
        <n v="1.83"/>
        <n v="3.18"/>
        <n v="0.46"/>
        <n v="1.86"/>
        <n v="23.86"/>
        <n v="4.58"/>
        <n v="15.5"/>
        <n v="5.7"/>
        <n v="2.52"/>
        <n v="4.8600000000000003"/>
        <n v="7.14"/>
        <n v="2.13"/>
        <n v="0.63"/>
        <n v="0.7"/>
        <n v="0.73"/>
        <n v="0.94"/>
        <n v="2.2000000000000002"/>
        <n v="1.33"/>
        <n v="2.34"/>
        <n v="21.02"/>
        <n v="23.5"/>
        <n v="11.95"/>
        <n v="5.75"/>
        <n v="4.6100000000000003"/>
        <n v="8.65"/>
        <n v="4.74"/>
        <n v="1.51"/>
        <n v="0.47"/>
        <n v="2.96"/>
        <n v="0.17"/>
        <n v="0.14000000000000001"/>
        <n v="1.98"/>
        <n v="0.33"/>
        <n v="0.67"/>
        <n v="11.49"/>
        <n v="22.58"/>
        <n v="15.95"/>
        <n v="5.91"/>
        <n v="6.77"/>
        <n v="4.68"/>
        <n v="10.95"/>
        <n v="3.54"/>
        <n v="1.5"/>
        <n v="0.68"/>
        <n v="0.18"/>
        <n v="0.05"/>
        <n v="1.04"/>
        <n v="0.27"/>
        <n v="0.32"/>
        <n v="12.76"/>
        <n v="22.61"/>
        <n v="13.45"/>
        <n v="5.74"/>
        <n v="2.29"/>
        <n v="5.49"/>
        <n v="8.1"/>
        <n v="1.85"/>
        <n v="3.53"/>
        <n v="0.8"/>
        <n v="1.6"/>
        <n v="1.1599999999999999"/>
        <n v="3.43"/>
        <n v="1.92"/>
        <n v="1.34"/>
        <n v="1.49"/>
        <n v="5.17"/>
        <n v="20.85"/>
        <n v="18.22"/>
        <n v="5.79"/>
        <n v="6.71"/>
        <n v="12.17"/>
        <n v="6.6"/>
        <n v="5.9"/>
        <n v="0.81"/>
        <n v="3.32"/>
        <n v="1.58"/>
        <n v="2.14"/>
        <n v="1.8"/>
        <n v="17.18"/>
        <n v="22.84"/>
        <n v="17.649999999999999"/>
        <n v="2.4"/>
        <n v="5.42"/>
        <n v="0.53"/>
        <n v="2.76"/>
        <n v="0.35"/>
        <n v="0.5"/>
        <n v="0.21"/>
        <n v="2.9"/>
        <n v="0.12"/>
        <n v="0.23"/>
        <n v="18.510000000000002"/>
        <n v="21.85"/>
        <n v="14.66"/>
        <n v="6.06"/>
        <n v="6.39"/>
        <n v="8.57"/>
        <n v="3.82"/>
        <n v="1.57"/>
        <n v="2.31"/>
        <n v="1.27"/>
        <n v="15.19"/>
        <n v="23.98"/>
        <n v="12.65"/>
        <n v="7.49"/>
        <n v="9.2200000000000006"/>
        <n v="5.36"/>
        <n v="1.19"/>
        <n v="2.85"/>
        <n v="1.38"/>
        <n v="1.21"/>
        <n v="9.08"/>
        <n v="21.96"/>
        <n v="15.77"/>
        <n v="13.42"/>
        <n v="5.54"/>
        <n v="2.2599999999999998"/>
        <n v="4.21"/>
        <n v="1.75"/>
        <n v="0.96"/>
        <n v="0.1"/>
        <n v="15.3"/>
        <n v="21.31"/>
        <n v="14.15"/>
        <n v="6.07"/>
        <n v="6.89"/>
        <n v="8.51"/>
        <n v="4.25"/>
        <n v="1.55"/>
        <n v="3.63"/>
        <n v="1.06"/>
        <n v="2.61"/>
        <n v="0.66"/>
        <n v="0.36"/>
        <n v="1.39"/>
        <n v="20.09"/>
        <n v="10.71"/>
        <n v="12.1"/>
        <n v="6.47"/>
        <n v="7.54"/>
        <n v="1.61"/>
        <n v="2.46"/>
        <n v="5"/>
        <n v="3.88"/>
        <n v="2.0499999999999998"/>
        <n v="0.71"/>
        <n v="2.77"/>
        <n v="21.98"/>
        <n v="7.59"/>
        <n v="15.7"/>
        <n v="2.0299999999999998"/>
        <n v="5.86"/>
        <n v="0.77"/>
        <n v="4.55"/>
        <n v="5.44"/>
        <n v="5.27"/>
        <n v="2"/>
        <n v="1.93"/>
        <n v="7.82"/>
        <n v="16.7"/>
        <n v="17.440000000000001"/>
        <n v="2.4700000000000002"/>
        <n v="1.56"/>
        <n v="5.08"/>
        <n v="10.46"/>
        <n v="7.21"/>
        <n v="5.25"/>
        <n v="1.88"/>
        <n v="0.56999999999999995"/>
        <n v="2.11"/>
        <n v="4.22"/>
        <n v="18.39"/>
        <n v="14.22"/>
        <n v="2.95"/>
        <n v="5.66"/>
        <n v="1.17"/>
        <n v="6.09"/>
        <n v="3.23"/>
        <n v="0.84"/>
        <n v="1.95"/>
        <n v="10.99"/>
        <n v="20.190000000000001"/>
        <n v="14.82"/>
        <n v="5.37"/>
        <n v="4.01"/>
        <n v="6.2"/>
        <n v="0.74"/>
        <n v="2.2999999999999998"/>
        <n v="1.52"/>
        <n v="18.66"/>
        <n v="17.29"/>
        <n v="5.71"/>
        <n v="1.01"/>
        <n v="1.18"/>
        <n v="7.71"/>
        <n v="5.4"/>
        <n v="2.64"/>
        <n v="3.49"/>
        <n v="5.28"/>
        <n v="2.12"/>
        <n v="14.29"/>
        <n v="42.86"/>
        <n v="28.57"/>
        <n v="7.45"/>
        <n v="18.46"/>
        <n v="17.399999999999999"/>
        <n v="3.58"/>
        <n v="5.29"/>
        <n v="6.61"/>
        <n v="4.45"/>
        <n v="7.66"/>
        <n v="4.13"/>
        <n v="3.05"/>
        <n v="1.63"/>
        <n v="1.69"/>
        <n v="0.39"/>
        <n v="21.59"/>
        <n v="9.9600000000000009"/>
        <n v="4.1399999999999997"/>
        <n v="1.99"/>
        <n v="1.1200000000000001"/>
        <n v="2.23"/>
        <n v="0.4"/>
        <n v="0.08"/>
        <n v="0.16"/>
        <n v="2.5499999999999998"/>
        <n v="13.95"/>
        <n v="19.75"/>
        <n v="15.94"/>
        <n v="7.79"/>
        <n v="8.82"/>
        <n v="10.02"/>
        <n v="6.52"/>
        <n v="3.02"/>
        <n v="3.62"/>
        <n v="1.0900000000000001"/>
        <n v="30.48"/>
        <n v="14.19"/>
        <n v="13.17"/>
        <n v="3.98"/>
        <n v="0.55000000000000004"/>
        <n v="2.73"/>
        <n v="19.43"/>
        <n v="15.4"/>
        <n v="5.34"/>
        <n v="2.48"/>
        <n v="5.65"/>
        <n v="4.95"/>
        <n v="5.5"/>
        <n v="3.25"/>
        <n v="12.15"/>
        <n v="18.96"/>
        <n v="17.57"/>
        <n v="3.5"/>
        <n v="5.0199999999999996"/>
        <n v="10.7"/>
        <n v="5.55"/>
        <n v="6.01"/>
        <n v="4.62"/>
        <n v="1.65"/>
        <n v="25.26"/>
        <n v="18.079999999999998"/>
        <n v="6.15"/>
        <n v="2.1800000000000002"/>
        <n v="6.54"/>
        <n v="9.1"/>
        <n v="0.9"/>
        <n v="1.67"/>
        <n v="3.45"/>
        <n v="23.78"/>
        <n v="16.13"/>
        <n v="10.59"/>
        <n v="5.21"/>
        <n v="3.19"/>
        <n v="2.1"/>
        <n v="6.32"/>
        <n v="1.53"/>
        <n v="6.23"/>
        <n v="9.5299999999999994"/>
        <n v="6.51"/>
        <n v="10.18"/>
        <n v="2.7"/>
        <n v="4.04"/>
        <n v="6.76"/>
        <n v="18.87"/>
        <n v="17.3"/>
        <n v="6.13"/>
        <n v="13.52"/>
        <n v="7.23"/>
        <n v="2.04"/>
        <n v="2.67"/>
        <n v="1.42"/>
        <n v="0.31"/>
        <n v="7.73"/>
        <n v="17.36"/>
        <n v="18.36"/>
        <n v="3.09"/>
        <n v="9.82"/>
        <n v="4.7300000000000004"/>
        <n v="9.5500000000000007"/>
        <n v="0.82"/>
        <n v="1.45"/>
        <n v="17.77"/>
        <n v="14.46"/>
        <n v="13.61"/>
        <n v="10.8"/>
        <n v="9.18"/>
        <n v="5.53"/>
        <n v="1.96"/>
        <n v="2.21"/>
        <n v="2.98"/>
        <n v="1.7"/>
        <n v="21.93"/>
        <n v="17.899999999999999"/>
        <n v="5.72"/>
        <n v="7.1"/>
        <n v="7.42"/>
        <n v="3.81"/>
        <n v="2.0099999999999998"/>
        <n v="2.65"/>
        <n v="22.85"/>
        <n v="15.66"/>
        <n v="11.28"/>
        <n v="12.69"/>
        <n v="6.35"/>
        <n v="3.95"/>
        <n v="8.26"/>
        <n v="20.03"/>
        <n v="16.82"/>
        <n v="8.7200000000000006"/>
        <n v="13.46"/>
        <n v="7.34"/>
        <n v="5.05"/>
        <n v="1.07"/>
        <n v="4.43"/>
        <n v="0.92"/>
        <n v="1.68"/>
        <n v="27.83"/>
        <n v="20.36"/>
        <n v="7.47"/>
        <n v="3.39"/>
        <n v="7.01"/>
        <n v="2.71"/>
        <n v="3.85"/>
        <n v="3.17"/>
        <n v="1.1299999999999999"/>
        <n v="16.010000000000002"/>
        <n v="19.170000000000002"/>
        <n v="18.38"/>
        <n v="2.17"/>
        <n v="6.72"/>
        <n v="20.46"/>
        <n v="17.68"/>
        <n v="5.07"/>
        <n v="1.64"/>
        <n v="6.55"/>
        <n v="7.86"/>
        <n v="8.35"/>
        <n v="4.75"/>
        <n v="3.44"/>
        <n v="20.12"/>
        <n v="18.93"/>
        <n v="7.69"/>
        <n v="8.48"/>
        <n v="2.37"/>
        <n v="7.89"/>
        <n v="1.97"/>
        <n v="8.67"/>
        <n v="15.38"/>
        <n v="14.27"/>
        <n v="3.36"/>
        <n v="3.22"/>
        <n v="9.65"/>
        <n v="4.9000000000000004"/>
        <n v="9.93"/>
        <n v="4.2"/>
        <n v="2.66"/>
        <n v="5.03"/>
        <n v="1.26"/>
        <n v="5.93"/>
        <n v="3.48"/>
        <n v="3.68"/>
        <n v="17.59"/>
        <n v="15.13"/>
        <n v="5.32"/>
        <n v="6.34"/>
        <n v="6.95"/>
        <n v="7.57"/>
        <n v="2.86"/>
        <n v="1.84"/>
        <n v="1.02"/>
        <n v="23.55"/>
        <n v="16.32"/>
        <n v="4.34"/>
        <n v="11.98"/>
        <n v="3.1"/>
        <n v="0.83"/>
        <n v="4.96"/>
        <n v="1.24"/>
        <n v="25.97"/>
        <n v="13.81"/>
        <n v="5.16"/>
        <n v="12.71"/>
        <n v="4.97"/>
        <n v="6.81"/>
        <n v="4.24"/>
        <n v="33.47"/>
        <n v="19.72"/>
        <n v="2.19"/>
        <n v="6.57"/>
        <n v="2.99"/>
        <n v="4.38"/>
        <n v="3.59"/>
        <n v="7.5"/>
        <n v="17.989999999999998"/>
        <n v="7.05"/>
        <n v="14.84"/>
        <n v="6.9"/>
        <n v="7.65"/>
        <n v="4.5"/>
        <n v="4.05"/>
        <n v="3.15"/>
        <n v="1.05"/>
        <n v="1.35"/>
        <n v="7.77"/>
        <n v="18.18"/>
        <n v="11.16"/>
        <n v="5.62"/>
        <n v="4.88"/>
        <n v="12.58"/>
        <n v="1.89"/>
        <n v="5.97"/>
        <n v="3.77"/>
        <n v="9.7200000000000006"/>
        <n v="7.64"/>
        <n v="13.89"/>
        <n v="11.81"/>
        <n v="2.78"/>
        <n v="6.25"/>
        <n v="2.08"/>
        <n v="4.17"/>
        <n v="9.59"/>
        <n v="13.7"/>
        <n v="10.96"/>
        <n v="12.33"/>
        <n v="8.2200000000000006"/>
        <n v="2.74"/>
        <n v="1.37"/>
        <n v="30.14"/>
        <n v="15.07"/>
        <n v="16.170000000000002"/>
        <n v="13.19"/>
        <n v="15.32"/>
        <n v="11.06"/>
        <n v="5.1100000000000003"/>
        <n v="3.4"/>
        <n v="40"/>
        <n v="20"/>
        <n v="6.67"/>
        <n v="13.33"/>
        <n v="48.78"/>
        <n v="10.57"/>
        <n v="6.5"/>
        <n v="7.32"/>
        <n v="2.44"/>
        <n v="36.450000000000003"/>
        <n v="14.95"/>
        <n v="4.67"/>
        <n v="3.74"/>
        <n v="19.850000000000001"/>
        <n v="19.12"/>
        <n v="10.29"/>
        <n v="5.88"/>
        <n v="2.94"/>
        <n v="4.41"/>
        <n v="46.15"/>
        <n v="23.08"/>
        <n v="34.58"/>
        <n v="10.83"/>
        <n v="10.42"/>
        <n v="5.83"/>
        <n v="3.33"/>
        <n v="1.25"/>
        <n v="2.92"/>
        <n v="3.75"/>
        <n v="2.5"/>
        <n v="50"/>
        <n v="33.33"/>
        <n v="16.670000000000002"/>
        <n v="33.06"/>
        <n v="16.940000000000001"/>
        <n v="14.52"/>
        <n v="8.06"/>
        <n v="2.42"/>
      </sharedItems>
    </cacheField>
    <cacheField name="総数（法人）" numFmtId="0" sqlType="4">
      <sharedItems containsSemiMixedTypes="0" containsString="0" containsNumber="1" containsInteger="1" minValue="0" maxValue="29661" count="428">
        <n v="29661"/>
        <n v="10567"/>
        <n v="12874"/>
        <n v="6827"/>
        <n v="10452"/>
        <n v="2680"/>
        <n v="9758"/>
        <n v="5297"/>
        <n v="9476"/>
        <n v="4471"/>
        <n v="8268"/>
        <n v="5761"/>
        <n v="7703"/>
        <n v="6119"/>
        <n v="6405"/>
        <n v="5460"/>
        <n v="5487"/>
        <n v="3294"/>
        <n v="4505"/>
        <n v="24067"/>
        <n v="9159"/>
        <n v="11308"/>
        <n v="5302"/>
        <n v="8254"/>
        <n v="2159"/>
        <n v="4219"/>
        <n v="7035"/>
        <n v="6342"/>
        <n v="3442"/>
        <n v="4787"/>
        <n v="6325"/>
        <n v="6052"/>
        <n v="5848"/>
        <n v="4848"/>
        <n v="5626"/>
        <n v="4568"/>
        <n v="4586"/>
        <n v="4058"/>
        <n v="3637"/>
        <n v="1159"/>
        <n v="1218"/>
        <n v="560"/>
        <n v="477"/>
        <n v="529"/>
        <n v="506"/>
        <n v="431"/>
        <n v="430"/>
        <n v="403"/>
        <n v="363"/>
        <n v="332"/>
        <n v="287"/>
        <n v="297"/>
        <n v="252"/>
        <n v="92"/>
        <n v="207"/>
        <n v="237"/>
        <n v="197"/>
        <n v="180"/>
        <n v="177"/>
        <n v="990"/>
        <n v="978"/>
        <n v="1177"/>
        <n v="522"/>
        <n v="491"/>
        <n v="471"/>
        <n v="445"/>
        <n v="220"/>
        <n v="117"/>
        <n v="378"/>
        <n v="368"/>
        <n v="317"/>
        <n v="351"/>
        <n v="345"/>
        <n v="339"/>
        <n v="263"/>
        <n v="276"/>
        <n v="244"/>
        <n v="260"/>
        <n v="188"/>
        <n v="1649"/>
        <n v="1844"/>
        <n v="1082"/>
        <n v="771"/>
        <n v="519"/>
        <n v="600"/>
        <n v="325"/>
        <n v="159"/>
        <n v="494"/>
        <n v="498"/>
        <n v="388"/>
        <n v="408"/>
        <n v="390"/>
        <n v="282"/>
        <n v="320"/>
        <n v="251"/>
        <n v="245"/>
        <n v="839"/>
        <n v="1557"/>
        <n v="880"/>
        <n v="302"/>
        <n v="479"/>
        <n v="538"/>
        <n v="133"/>
        <n v="413"/>
        <n v="412"/>
        <n v="411"/>
        <n v="348"/>
        <n v="322"/>
        <n v="243"/>
        <n v="262"/>
        <n v="254"/>
        <n v="241"/>
        <n v="209"/>
        <n v="857"/>
        <n v="257"/>
        <n v="399"/>
        <n v="224"/>
        <n v="112"/>
        <n v="300"/>
        <n v="61"/>
        <n v="122"/>
        <n v="105"/>
        <n v="178"/>
        <n v="192"/>
        <n v="200"/>
        <n v="160"/>
        <n v="136"/>
        <n v="141"/>
        <n v="147"/>
        <n v="70"/>
        <n v="95"/>
        <n v="103"/>
        <n v="474"/>
        <n v="984"/>
        <n v="828"/>
        <n v="503"/>
        <n v="314"/>
        <n v="303"/>
        <n v="154"/>
        <n v="401"/>
        <n v="232"/>
        <n v="293"/>
        <n v="364"/>
        <n v="264"/>
        <n v="182"/>
        <n v="226"/>
        <n v="233"/>
        <n v="227"/>
        <n v="210"/>
        <n v="203"/>
        <n v="596"/>
        <n v="123"/>
        <n v="51"/>
        <n v="229"/>
        <n v="166"/>
        <n v="219"/>
        <n v="208"/>
        <n v="181"/>
        <n v="142"/>
        <n v="91"/>
        <n v="171"/>
        <n v="120"/>
        <n v="102"/>
        <n v="690"/>
        <n v="191"/>
        <n v="323"/>
        <n v="174"/>
        <n v="305"/>
        <n v="292"/>
        <n v="239"/>
        <n v="231"/>
        <n v="189"/>
        <n v="138"/>
        <n v="106"/>
        <n v="162"/>
        <n v="910"/>
        <n v="379"/>
        <n v="206"/>
        <n v="395"/>
        <n v="284"/>
        <n v="71"/>
        <n v="145"/>
        <n v="223"/>
        <n v="137"/>
        <n v="225"/>
        <n v="184"/>
        <n v="118"/>
        <n v="172"/>
        <n v="132"/>
        <n v="894"/>
        <n v="283"/>
        <n v="404"/>
        <n v="277"/>
        <n v="212"/>
        <n v="139"/>
        <n v="168"/>
        <n v="126"/>
        <n v="110"/>
        <n v="109"/>
        <n v="79"/>
        <n v="1502"/>
        <n v="337"/>
        <n v="415"/>
        <n v="523"/>
        <n v="311"/>
        <n v="151"/>
        <n v="381"/>
        <n v="540"/>
        <n v="463"/>
        <n v="164"/>
        <n v="196"/>
        <n v="218"/>
        <n v="198"/>
        <n v="193"/>
        <n v="1770"/>
        <n v="444"/>
        <n v="457"/>
        <n v="782"/>
        <n v="601"/>
        <n v="542"/>
        <n v="365"/>
        <n v="281"/>
        <n v="215"/>
        <n v="1167"/>
        <n v="1515"/>
        <n v="715"/>
        <n v="484"/>
        <n v="787"/>
        <n v="672"/>
        <n v="577"/>
        <n v="432"/>
        <n v="510"/>
        <n v="485"/>
        <n v="307"/>
        <n v="385"/>
        <n v="211"/>
        <n v="216"/>
        <n v="851"/>
        <n v="202"/>
        <n v="175"/>
        <n v="258"/>
        <n v="64"/>
        <n v="127"/>
        <n v="205"/>
        <n v="93"/>
        <n v="155"/>
        <n v="149"/>
        <n v="115"/>
        <n v="101"/>
        <n v="68"/>
        <n v="82"/>
        <n v="1361"/>
        <n v="324"/>
        <n v="466"/>
        <n v="346"/>
        <n v="111"/>
        <n v="158"/>
        <n v="176"/>
        <n v="279"/>
        <n v="294"/>
        <n v="157"/>
        <n v="246"/>
        <n v="165"/>
        <n v="958"/>
        <n v="342"/>
        <n v="419"/>
        <n v="316"/>
        <n v="327"/>
        <n v="161"/>
        <n v="228"/>
        <n v="195"/>
        <n v="186"/>
        <n v="144"/>
        <n v="140"/>
        <n v="591"/>
        <n v="153"/>
        <n v="55"/>
        <n v="148"/>
        <n v="69"/>
        <n v="119"/>
        <n v="89"/>
        <n v="62"/>
        <n v="88"/>
        <n v="143"/>
        <n v="46"/>
        <n v="65"/>
        <n v="59"/>
        <n v="77"/>
        <n v="107"/>
        <n v="40"/>
        <n v="66"/>
        <n v="47"/>
        <n v="222"/>
        <n v="780"/>
        <n v="221"/>
        <n v="275"/>
        <n v="74"/>
        <n v="386"/>
        <n v="357"/>
        <n v="183"/>
        <n v="156"/>
        <n v="72"/>
        <n v="1247"/>
        <n v="630"/>
        <n v="571"/>
        <n v="567"/>
        <n v="380"/>
        <n v="278"/>
        <n v="152"/>
        <n v="238"/>
        <n v="8"/>
        <n v="97"/>
        <n v="860"/>
        <n v="234"/>
        <n v="750"/>
        <n v="359"/>
        <n v="551"/>
        <n v="525"/>
        <n v="87"/>
        <n v="10"/>
        <n v="217"/>
        <n v="199"/>
        <n v="637"/>
        <n v="173"/>
        <n v="286"/>
        <n v="355"/>
        <n v="80"/>
        <n v="295"/>
        <n v="289"/>
        <n v="129"/>
        <n v="81"/>
        <n v="90"/>
        <n v="169"/>
        <n v="986"/>
        <n v="662"/>
        <n v="310"/>
        <n v="468"/>
        <n v="187"/>
        <n v="249"/>
        <n v="5"/>
        <n v="190"/>
        <n v="194"/>
        <n v="28"/>
        <n v="18"/>
        <n v="6"/>
        <n v="4"/>
        <n v="3"/>
        <n v="2"/>
        <n v="1"/>
        <n v="654"/>
        <n v="372"/>
        <n v="259"/>
        <n v="329"/>
        <n v="185"/>
        <n v="128"/>
        <n v="96"/>
        <n v="124"/>
        <n v="313"/>
        <n v="83"/>
        <n v="150"/>
        <n v="34"/>
        <n v="100"/>
        <n v="76"/>
        <n v="41"/>
        <n v="57"/>
        <n v="48"/>
        <n v="44"/>
        <n v="121"/>
        <n v="146"/>
        <n v="54"/>
        <n v="36"/>
        <n v="38"/>
        <n v="318"/>
        <n v="43"/>
        <n v="86"/>
        <n v="20"/>
        <n v="39"/>
        <n v="56"/>
        <n v="58"/>
        <n v="49"/>
        <n v="22"/>
        <n v="26"/>
        <n v="31"/>
        <n v="37"/>
        <n v="108"/>
        <n v="25"/>
        <n v="16"/>
        <n v="42"/>
        <n v="23"/>
        <n v="17"/>
        <n v="32"/>
        <n v="213"/>
        <n v="67"/>
        <n v="27"/>
        <n v="52"/>
        <n v="12"/>
        <n v="29"/>
        <n v="21"/>
        <n v="24"/>
        <n v="393"/>
        <n v="130"/>
        <n v="63"/>
        <n v="53"/>
        <n v="35"/>
        <n v="532"/>
        <n v="134"/>
        <n v="125"/>
        <n v="336"/>
        <n v="266"/>
        <n v="85"/>
        <n v="113"/>
        <n v="50"/>
        <n v="19"/>
        <n v="33"/>
        <n v="30"/>
        <n v="13"/>
        <n v="60"/>
        <n v="99"/>
        <n v="11"/>
        <n v="45"/>
        <n v="9"/>
        <n v="15"/>
        <n v="7"/>
        <n v="14"/>
        <n v="84"/>
        <n v="230"/>
        <n v="75"/>
        <n v="0"/>
      </sharedItems>
    </cacheField>
    <cacheField name="構成比（法人）" numFmtId="0" sqlType="3">
      <sharedItems containsSemiMixedTypes="0" containsString="0" containsNumber="1" minValue="0" maxValue="66.67" count="539">
        <n v="13.28"/>
        <n v="4.7300000000000004"/>
        <n v="5.77"/>
        <n v="3.06"/>
        <n v="4.68"/>
        <n v="1.2"/>
        <n v="4.37"/>
        <n v="2.37"/>
        <n v="4.24"/>
        <n v="2"/>
        <n v="3.7"/>
        <n v="2.58"/>
        <n v="3.45"/>
        <n v="2.74"/>
        <n v="2.87"/>
        <n v="2.4500000000000002"/>
        <n v="2.46"/>
        <n v="1.48"/>
        <n v="2.02"/>
        <n v="13.26"/>
        <n v="5.05"/>
        <n v="6.23"/>
        <n v="2.92"/>
        <n v="4.55"/>
        <n v="1.19"/>
        <n v="2.3199999999999998"/>
        <n v="3.88"/>
        <n v="3.49"/>
        <n v="1.9"/>
        <n v="2.64"/>
        <n v="3.48"/>
        <n v="3.33"/>
        <n v="3.22"/>
        <n v="2.67"/>
        <n v="3.1"/>
        <n v="2.52"/>
        <n v="2.5299999999999998"/>
        <n v="2.2400000000000002"/>
        <n v="10.73"/>
        <n v="11.28"/>
        <n v="5.19"/>
        <n v="4.42"/>
        <n v="4.9000000000000004"/>
        <n v="4.6900000000000004"/>
        <n v="3.99"/>
        <n v="3.98"/>
        <n v="3.73"/>
        <n v="3.36"/>
        <n v="3.07"/>
        <n v="2.66"/>
        <n v="2.75"/>
        <n v="2.33"/>
        <n v="0.85"/>
        <n v="1.92"/>
        <n v="2.19"/>
        <n v="1.82"/>
        <n v="1.67"/>
        <n v="1.64"/>
        <n v="8.69"/>
        <n v="8.58"/>
        <n v="10.33"/>
        <n v="4.58"/>
        <n v="4.3099999999999996"/>
        <n v="4.13"/>
        <n v="3.91"/>
        <n v="1.93"/>
        <n v="1.03"/>
        <n v="3.32"/>
        <n v="3.23"/>
        <n v="2.78"/>
        <n v="3.08"/>
        <n v="3.03"/>
        <n v="2.98"/>
        <n v="2.31"/>
        <n v="2.42"/>
        <n v="2.14"/>
        <n v="2.2799999999999998"/>
        <n v="1.65"/>
        <n v="11.57"/>
        <n v="12.94"/>
        <n v="7.59"/>
        <n v="5.41"/>
        <n v="3.64"/>
        <n v="4.21"/>
        <n v="1.1200000000000001"/>
        <n v="3.47"/>
        <n v="2.72"/>
        <n v="2.86"/>
        <n v="1.98"/>
        <n v="2.25"/>
        <n v="1.85"/>
        <n v="1.94"/>
        <n v="1.76"/>
        <n v="1.72"/>
        <n v="7.62"/>
        <n v="14.15"/>
        <n v="8"/>
        <n v="4.3499999999999996"/>
        <n v="4.8899999999999997"/>
        <n v="1.21"/>
        <n v="3.75"/>
        <n v="3.74"/>
        <n v="3.16"/>
        <n v="2.29"/>
        <n v="3.54"/>
        <n v="2.93"/>
        <n v="2.21"/>
        <n v="2.38"/>
        <n v="16.72"/>
        <n v="5.01"/>
        <n v="7.78"/>
        <n v="2.1800000000000002"/>
        <n v="5.85"/>
        <n v="2.0499999999999998"/>
        <n v="3.9"/>
        <n v="3.12"/>
        <n v="2.65"/>
        <n v="1.37"/>
        <n v="2.0099999999999998"/>
        <n v="5.29"/>
        <n v="10.99"/>
        <n v="9.25"/>
        <n v="5.62"/>
        <n v="3.51"/>
        <n v="3.38"/>
        <n v="4.4800000000000004"/>
        <n v="2.59"/>
        <n v="3.27"/>
        <n v="4.07"/>
        <n v="2.95"/>
        <n v="2.0299999999999998"/>
        <n v="0.68"/>
        <n v="2.6"/>
        <n v="2.54"/>
        <n v="2.35"/>
        <n v="2.27"/>
        <n v="1.99"/>
        <n v="4.2"/>
        <n v="10.25"/>
        <n v="2.12"/>
        <n v="4.08"/>
        <n v="4.51"/>
        <n v="2.34"/>
        <n v="4.18"/>
        <n v="4.54"/>
        <n v="0.88"/>
        <n v="3.94"/>
        <n v="3.77"/>
        <n v="3.58"/>
        <n v="3.11"/>
        <n v="2.44"/>
        <n v="1.57"/>
        <n v="2.94"/>
        <n v="2.06"/>
        <n v="1.75"/>
        <n v="4.4400000000000004"/>
        <n v="10.1"/>
        <n v="2.8"/>
        <n v="3.59"/>
        <n v="2.5499999999999998"/>
        <n v="4.46"/>
        <n v="1.02"/>
        <n v="4.2699999999999996"/>
        <n v="3.5"/>
        <n v="2.77"/>
        <n v="2.5"/>
        <n v="1.55"/>
        <n v="13.49"/>
        <n v="3.05"/>
        <n v="5.86"/>
        <n v="1.05"/>
        <n v="2.15"/>
        <n v="3.31"/>
        <n v="3.34"/>
        <n v="2.73"/>
        <n v="1.96"/>
        <n v="17.350000000000001"/>
        <n v="5.49"/>
        <n v="7.84"/>
        <n v="5.38"/>
        <n v="4.1100000000000003"/>
        <n v="1.38"/>
        <n v="2.39"/>
        <n v="2.7"/>
        <n v="3.26"/>
        <n v="3.53"/>
        <n v="3.14"/>
        <n v="2.13"/>
        <n v="2.04"/>
        <n v="1.53"/>
        <n v="4"/>
        <n v="4.7"/>
        <n v="2.79"/>
        <n v="1.36"/>
        <n v="4.47"/>
        <n v="3.42"/>
        <n v="4.8499999999999996"/>
        <n v="4.16"/>
        <n v="4.2300000000000004"/>
        <n v="1.47"/>
        <n v="1.78"/>
        <n v="1.73"/>
        <n v="16.55"/>
        <n v="4.1500000000000004"/>
        <n v="7.31"/>
        <n v="1.63"/>
        <n v="2.83"/>
        <n v="5.07"/>
        <n v="3.04"/>
        <n v="3.85"/>
        <n v="3.41"/>
        <n v="3.01"/>
        <n v="2.91"/>
        <n v="2.63"/>
        <n v="2.08"/>
        <n v="1.87"/>
        <n v="9.51"/>
        <n v="12.34"/>
        <n v="5.82"/>
        <n v="6.41"/>
        <n v="5.47"/>
        <n v="3.52"/>
        <n v="3.95"/>
        <n v="1.08"/>
        <n v="3.09"/>
        <n v="1.79"/>
        <n v="19.18"/>
        <n v="5.81"/>
        <n v="5.09"/>
        <n v="1.44"/>
        <n v="4.62"/>
        <n v="2.1"/>
        <n v="19.36"/>
        <n v="4.6100000000000003"/>
        <n v="6.63"/>
        <n v="4.92"/>
        <n v="1.58"/>
        <n v="4.5999999999999996"/>
        <n v="3.97"/>
        <n v="2.23"/>
        <n v="1.56"/>
        <n v="2.2999999999999998"/>
        <n v="1.66"/>
        <n v="14.32"/>
        <n v="5.1100000000000003"/>
        <n v="6.26"/>
        <n v="2.89"/>
        <n v="4.72"/>
        <n v="4.78"/>
        <n v="2.41"/>
        <n v="3.15"/>
        <n v="2.09"/>
        <n v="2.11"/>
        <n v="14.49"/>
        <n v="4.12"/>
        <n v="1.35"/>
        <n v="3.63"/>
        <n v="5.39"/>
        <n v="5.34"/>
        <n v="4.8099999999999996"/>
        <n v="1.69"/>
        <n v="2.82"/>
        <n v="2.57"/>
        <n v="1.52"/>
        <n v="2.2599999999999998"/>
        <n v="3.28"/>
        <n v="8.9700000000000006"/>
        <n v="5.04"/>
        <n v="4.05"/>
        <n v="4.4000000000000004"/>
        <n v="2.4700000000000002"/>
        <n v="3.44"/>
        <n v="1.29"/>
        <n v="1.51"/>
        <n v="12.29"/>
        <n v="6.81"/>
        <n v="4.33"/>
        <n v="1.17"/>
        <n v="6.08"/>
        <n v="5.63"/>
        <n v="3.66"/>
        <n v="2.4900000000000002"/>
        <n v="1.81"/>
        <n v="2.88"/>
        <n v="1.1299999999999999"/>
        <n v="15.76"/>
        <n v="7.96"/>
        <n v="7.22"/>
        <n v="7.17"/>
        <n v="4.8"/>
        <n v="1.42"/>
        <n v="1.88"/>
        <n v="0.1"/>
        <n v="1.23"/>
        <n v="2.16"/>
        <n v="10.57"/>
        <n v="9.2200000000000006"/>
        <n v="4.41"/>
        <n v="6.77"/>
        <n v="6.46"/>
        <n v="1.86"/>
        <n v="1.07"/>
        <n v="3.25"/>
        <n v="0.12"/>
        <n v="1.25"/>
        <n v="2.4300000000000002"/>
        <n v="11.12"/>
        <n v="3.02"/>
        <n v="4.99"/>
        <n v="5.43"/>
        <n v="6.2"/>
        <n v="1.4"/>
        <n v="5.15"/>
        <n v="1.41"/>
        <n v="12.69"/>
        <n v="2.2000000000000002"/>
        <n v="8.52"/>
        <n v="6.16"/>
        <n v="6.02"/>
        <n v="1.22"/>
        <n v="4.1399999999999997"/>
        <n v="3.2"/>
        <n v="0.06"/>
        <n v="1.83"/>
        <n v="26.42"/>
        <n v="16.98"/>
        <n v="7.55"/>
        <n v="5.66"/>
        <n v="1.89"/>
        <n v="0.94"/>
        <n v="8.11"/>
        <n v="6.33"/>
        <n v="5.6"/>
        <n v="1.04"/>
        <n v="3.18"/>
        <n v="13.04"/>
        <n v="4.29"/>
        <n v="3.46"/>
        <n v="6.25"/>
        <n v="3.37"/>
        <n v="6.83"/>
        <n v="3.87"/>
        <n v="4.91"/>
        <n v="5.25"/>
        <n v="3.17"/>
        <n v="1.71"/>
        <n v="19.010000000000002"/>
        <n v="1.97"/>
        <n v="5.65"/>
        <n v="5.46"/>
        <n v="3.21"/>
        <n v="2.56"/>
        <n v="1.39"/>
        <n v="1.32"/>
        <n v="1.7"/>
        <n v="18.34"/>
        <n v="2.48"/>
        <n v="8.7100000000000009"/>
        <n v="4.96"/>
        <n v="6.11"/>
        <n v="3.92"/>
        <n v="1.1499999999999999"/>
        <n v="4.04"/>
        <n v="3.69"/>
        <n v="1.27"/>
        <n v="1.5"/>
        <n v="10.47"/>
        <n v="5.32"/>
        <n v="5.73"/>
        <n v="5.48"/>
        <n v="1.33"/>
        <n v="1.91"/>
        <n v="15.14"/>
        <n v="8.27"/>
        <n v="7.14"/>
        <n v="0.97"/>
        <n v="2.76"/>
        <n v="3.62"/>
        <n v="11.34"/>
        <n v="7.63"/>
        <n v="3.72"/>
        <n v="1.1399999999999999"/>
        <n v="16.21"/>
        <n v="5.36"/>
        <n v="6.97"/>
        <n v="5.2"/>
        <n v="2.68"/>
        <n v="8.18"/>
        <n v="5.52"/>
        <n v="6.47"/>
        <n v="5.45"/>
        <n v="3.65"/>
        <n v="2.0699999999999998"/>
        <n v="18.510000000000002"/>
        <n v="6.17"/>
        <n v="2.84"/>
        <n v="14.6"/>
        <n v="4.43"/>
        <n v="7.75"/>
        <n v="8.1"/>
        <n v="4.6399999999999997"/>
        <n v="4.57"/>
        <n v="0.9"/>
        <n v="1.59"/>
        <n v="1.8"/>
        <n v="13.63"/>
        <n v="3.78"/>
        <n v="2.81"/>
        <n v="6.52"/>
        <n v="3.19"/>
        <n v="2.2200000000000002"/>
        <n v="11.47"/>
        <n v="9.89"/>
        <n v="5.24"/>
        <n v="8.23"/>
        <n v="0.91"/>
        <n v="5.99"/>
        <n v="0.75"/>
        <n v="17.170000000000002"/>
        <n v="4.75"/>
        <n v="5.58"/>
        <n v="19.09"/>
        <n v="4.66"/>
        <n v="5.23"/>
        <n v="2.61"/>
        <n v="3.3"/>
        <n v="9.9600000000000009"/>
        <n v="12.03"/>
        <n v="7.47"/>
        <n v="6.22"/>
        <n v="4.7699999999999996"/>
        <n v="1.45"/>
        <n v="2.9"/>
        <n v="15.85"/>
        <n v="3.79"/>
        <n v="2.17"/>
        <n v="7.86"/>
        <n v="9.08"/>
        <n v="6.78"/>
        <n v="2.85"/>
        <n v="2.71"/>
        <n v="1.49"/>
        <n v="3.55"/>
        <n v="12.09"/>
        <n v="9.9499999999999993"/>
        <n v="9.6"/>
        <n v="4.38"/>
        <n v="0.83"/>
        <n v="2.96"/>
        <n v="0.95"/>
        <n v="1.3"/>
        <n v="3.96"/>
        <n v="9.91"/>
        <n v="9.3699999999999992"/>
        <n v="8.4700000000000006"/>
        <n v="1.26"/>
        <n v="3.24"/>
        <n v="12.64"/>
        <n v="10.74"/>
        <n v="8.0299999999999994"/>
        <n v="7.94"/>
        <n v="2.62"/>
        <n v="0.99"/>
        <n v="1.62"/>
        <n v="12.87"/>
        <n v="10.64"/>
        <n v="10.18"/>
        <n v="7.25"/>
        <n v="3.86"/>
        <n v="0.7"/>
        <n v="5.42"/>
        <n v="12.15"/>
        <n v="4.1900000000000004"/>
        <n v="5.91"/>
        <n v="4.84"/>
        <n v="3.61"/>
        <n v="10.86"/>
        <n v="8.51"/>
        <n v="7.46"/>
        <n v="5.0999999999999996"/>
        <n v="6.54"/>
        <n v="13.18"/>
        <n v="8.14"/>
        <n v="1.74"/>
        <n v="12.92"/>
        <n v="9.99"/>
        <n v="6.75"/>
        <n v="5.87"/>
        <n v="3.67"/>
        <n v="14.21"/>
        <n v="4.63"/>
        <n v="1.1100000000000001"/>
        <n v="4.3899999999999997"/>
        <n v="4.88"/>
        <n v="6.92"/>
        <n v="3.71"/>
        <n v="8.9499999999999993"/>
        <n v="9.42"/>
        <n v="7.38"/>
        <n v="0.78"/>
        <n v="6.59"/>
        <n v="2.5099999999999998"/>
        <n v="0.31"/>
        <n v="10.31"/>
        <n v="6.7"/>
        <n v="6.19"/>
        <n v="0.52"/>
        <n v="22.86"/>
        <n v="11.43"/>
        <n v="5.71"/>
        <n v="0"/>
        <n v="13.21"/>
        <n v="7.58"/>
        <n v="10.61"/>
        <n v="13.64"/>
        <n v="6.82"/>
        <n v="0.76"/>
        <n v="25"/>
        <n v="4.17"/>
        <n v="16.670000000000002"/>
        <n v="12.5"/>
        <n v="8.33"/>
        <n v="20"/>
        <n v="13.33"/>
        <n v="6.67"/>
        <n v="5.13"/>
        <n v="7.69"/>
        <n v="17.95"/>
        <n v="15.38"/>
        <n v="66.67"/>
        <n v="33.33"/>
        <n v="11.61"/>
        <n v="0.89"/>
        <n v="10.71"/>
        <n v="3.57"/>
        <n v="13.85"/>
        <n v="9.23"/>
        <n v="12.31"/>
        <n v="1.54"/>
      </sharedItems>
    </cacheField>
    <cacheField name="総数（法人以外の団体）" numFmtId="0" sqlType="4">
      <sharedItems containsSemiMixedTypes="0" containsString="0" containsNumber="1" containsInteger="1" minValue="0" maxValue="82" count="20">
        <n v="41"/>
        <n v="10"/>
        <n v="25"/>
        <n v="1"/>
        <n v="4"/>
        <n v="2"/>
        <n v="42"/>
        <n v="3"/>
        <n v="9"/>
        <n v="82"/>
        <n v="5"/>
        <n v="15"/>
        <n v="36"/>
        <n v="6"/>
        <n v="21"/>
        <n v="0"/>
        <n v="66"/>
        <n v="8"/>
        <n v="14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9729629632" createdVersion="5" refreshedVersion="8" minRefreshableVersion="3" recordCount="1336" xr:uid="{A7F659A1-6B7A-4701-914A-08F51A2A1E4B}">
  <cacheSource type="external" connectionId="3"/>
  <cacheFields count="14">
    <cacheField name="都道府県" numFmtId="0" sqlType="-9">
      <sharedItems count="1">
        <s v="13 東京都"/>
      </sharedItems>
    </cacheField>
    <cacheField name="自治体名" numFmtId="0" sqlType="-9">
      <sharedItems count="65">
        <s v="東京都"/>
        <s v="特別区部"/>
        <s v="千代田区"/>
        <s v="中央区"/>
        <s v="港区"/>
        <s v="新宿区"/>
        <s v="文京区"/>
        <s v="台東区"/>
        <s v="墨田区"/>
        <s v="江東区"/>
        <s v="品川区"/>
        <s v="目黒区"/>
        <s v="大田区"/>
        <s v="世田谷区"/>
        <s v="渋谷区"/>
        <s v="中野区"/>
        <s v="杉並区"/>
        <s v="豊島区"/>
        <s v="北区"/>
        <s v="荒川区"/>
        <s v="板橋区"/>
        <s v="練馬区"/>
        <s v="足立区"/>
        <s v="葛飾区"/>
        <s v="江戸川区"/>
        <s v="境界未定地域"/>
        <s v="八王子市"/>
        <s v="立川市"/>
        <s v="武蔵野市"/>
        <s v="三鷹市"/>
        <s v="青梅市"/>
        <s v="府中市"/>
        <s v="昭島市"/>
        <s v="調布市"/>
        <s v="町田市"/>
        <s v="小金井市"/>
        <s v="小平市"/>
        <s v="日野市"/>
        <s v="東村山市"/>
        <s v="国分寺市"/>
        <s v="国立市"/>
        <s v="福生市"/>
        <s v="狛江市"/>
        <s v="東大和市"/>
        <s v="清瀬市"/>
        <s v="東久留米市"/>
        <s v="武蔵村山市"/>
        <s v="多摩市"/>
        <s v="稲城市"/>
        <s v="羽村市"/>
        <s v="あきる野市"/>
        <s v="西東京市"/>
        <s v="西多摩郡瑞穂町"/>
        <s v="西多摩郡日の出町"/>
        <s v="西多摩郡檜原村"/>
        <s v="西多摩郡奥多摩町"/>
        <s v="大島支庁大島町"/>
        <s v="大島支庁利島村"/>
        <s v="大島支庁新島村"/>
        <s v="大島支庁神津島村"/>
        <s v="三宅支庁三宅村"/>
        <s v="三宅支庁御蔵島村"/>
        <s v="八丈支庁八丈町"/>
        <s v="八丈支庁青ヶ島村"/>
        <s v="小笠原支庁小笠原村"/>
      </sharedItems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産業分類コード" numFmtId="0" sqlType="-8">
      <sharedItems count="120">
        <s v="692"/>
        <s v="762"/>
        <s v="783"/>
        <s v="765"/>
        <s v="694"/>
        <s v="691"/>
        <s v="835"/>
        <s v="609"/>
        <s v="824"/>
        <s v="682"/>
        <s v="766"/>
        <s v="782"/>
        <s v="729"/>
        <s v="724"/>
        <s v="742"/>
        <s v="929"/>
        <s v="589"/>
        <s v="391"/>
        <s v="728"/>
        <s v="833"/>
        <s v="559"/>
        <s v="721"/>
        <s v="414"/>
        <s v="543"/>
        <s v="151"/>
        <s v="731"/>
        <s v="532"/>
        <s v="522"/>
        <s v="521"/>
        <s v="512"/>
        <s v="726"/>
        <s v="513"/>
        <s v="579"/>
        <s v="321"/>
        <s v="767"/>
        <s v="116"/>
        <s v="081"/>
        <s v="541"/>
        <s v="531"/>
        <s v="078"/>
        <s v="781"/>
        <s v="603"/>
        <s v="573"/>
        <s v="083"/>
        <s v="266"/>
        <s v="066"/>
        <s v="401"/>
        <s v="693"/>
        <s v="586"/>
        <s v="064"/>
        <s v="432"/>
        <s v="079"/>
        <s v="245"/>
        <s v="244"/>
        <s v="761"/>
        <s v="572"/>
        <s v="608"/>
        <s v="789"/>
        <s v="799"/>
        <s v="550"/>
        <s v="574"/>
        <s v="674"/>
        <s v="764"/>
        <s v="591"/>
        <s v="062"/>
        <s v="853"/>
        <s v="065"/>
        <s v="891"/>
        <s v="823"/>
        <s v="077"/>
        <s v="071"/>
        <s v="922"/>
        <s v="072"/>
        <s v="269"/>
        <s v="246"/>
        <s v="329"/>
        <s v="441"/>
        <s v="593"/>
        <s v="854"/>
        <s v="855"/>
        <s v="751"/>
        <s v="605"/>
        <s v="752"/>
        <s v="585"/>
        <s v="121"/>
        <s v="129"/>
        <s v="331"/>
        <s v="759"/>
        <s v="763"/>
        <s v="133"/>
        <s v="583"/>
        <s v="809"/>
        <s v="821"/>
        <s v="581"/>
        <s v="606"/>
        <s v="098"/>
        <s v="361"/>
        <s v="482"/>
        <s v="881"/>
        <s v="951"/>
        <s v="092"/>
        <s v="212"/>
        <s v="489"/>
        <s v="602"/>
        <s v="607"/>
        <s v="075"/>
        <s v="313"/>
        <s v="097"/>
        <s v="325"/>
        <s v="452"/>
        <s v="771"/>
        <s v="704"/>
        <s v="082"/>
        <s v="102"/>
        <s v="162"/>
        <s v="711"/>
        <s v="063"/>
        <s v="611"/>
        <s v="805"/>
        <s v="902"/>
      </sharedItems>
    </cacheField>
    <cacheField name="産業分類" numFmtId="0" sqlType="-9">
      <sharedItems count="120">
        <s v="貸家業，貸間業"/>
        <s v="専門料理店"/>
        <s v="美容業"/>
        <s v="酒場，ビヤホール"/>
        <s v="不動産管理業"/>
        <s v="不動産賃貸業（貸家業，貸間業を除く）"/>
        <s v="療術業"/>
        <s v="他に分類されない小売業"/>
        <s v="教養・技能教授業"/>
        <s v="不動産代理業・仲介業"/>
        <s v="バー，キャバレー，ナイトクラブ"/>
        <s v="理容業"/>
        <s v="その他の専門サービス業"/>
        <s v="公認会計士事務所，税理士事務所"/>
        <s v="土木建築サービス業"/>
        <s v="他に分類されない事業サービス業"/>
        <s v="その他の飲食料品小売業"/>
        <s v="ソフトウェア業"/>
        <s v="経営コンサルタント業，純粋持株会社"/>
        <s v="歯科診療所"/>
        <s v="他に分類されない卸売業"/>
        <s v="法律事務所，特許事務所"/>
        <s v="出版業"/>
        <s v="電気機械器具卸売業"/>
        <s v="印刷業"/>
        <s v="広告業"/>
        <s v="化学製品卸売業"/>
        <s v="食料・飲料卸売業"/>
        <s v="農畜産物・水産物卸売業"/>
        <s v="衣服卸売業"/>
        <s v="デザイン業"/>
        <s v="身の回り品卸売業"/>
        <s v="その他の織物・衣服・身の回り品小売業"/>
        <s v="貴金属・宝石製品製造業"/>
        <s v="喫茶店"/>
        <s v="外衣・シャツ製造業（和式を除く）"/>
        <s v="電気工事業"/>
        <s v="産業機械器具卸売業"/>
        <s v="建築材料卸売業"/>
        <s v="床・内装工事業"/>
        <s v="洗濯業"/>
        <s v="医薬品・化粧品小売業"/>
        <s v="婦人・子供服小売業"/>
        <s v="管工事業（さく井工事業を除く）"/>
        <s v="金属加工機械製造業"/>
        <s v="建築リフォーム工事業"/>
        <s v="インターネット附随サービス業"/>
        <s v="駐車場業"/>
        <s v="菓子・パン小売業"/>
        <s v="建築工事業（木造建築工事業を除く）"/>
        <s v="一般乗用旅客自動車運送業"/>
        <s v="その他の職別工事業"/>
        <s v="金属素形材製品製造業"/>
        <s v="建設用・建築用金属製品製造業（製缶板金業を含む）"/>
        <s v="食堂，レストラン（専門料理店を除く）"/>
        <s v="男子服小売業"/>
        <s v="写真機・時計・眼鏡小売業"/>
        <s v="その他の洗濯・理容・美容・浴場業"/>
        <s v="他に分類されない生活関連サービス業"/>
        <s v="管理，補助的経済活動を行う事業所"/>
        <s v="靴・履物小売業"/>
        <s v="保険媒介代理業"/>
        <s v="すし店"/>
        <s v="自動車小売業"/>
        <s v="土木工事業（舗装工事業を除く）"/>
        <s v="児童福祉事業"/>
        <s v="木造建築工事業"/>
        <s v="自動車整備業"/>
        <s v="学習塾"/>
        <s v="塗装工事業"/>
        <s v="大工工事業"/>
        <s v="建物サービス業"/>
        <s v="とび・土工・コンクリート工事業"/>
        <s v="その他の生産用機械・同部分品製造業"/>
        <s v="金属被覆・彫刻業，熱処理業（ほうろう鉄器を除く）"/>
        <s v="他に分類されない製造業"/>
        <s v="一般貨物自動車運送業"/>
        <s v="機械器具小売業（自動車，自転車を除く）"/>
        <s v="老人福祉・介護事業"/>
        <s v="障害者福祉事業"/>
        <s v="旅館，ホテル"/>
        <s v="燃料小売業"/>
        <s v="簡易宿所"/>
        <s v="酒小売業"/>
        <s v="製材業，木製品製造業"/>
        <s v="その他の木製品製造業（竹，とうを含む）"/>
        <s v="電気業"/>
        <s v="その他の宿泊業"/>
        <s v="そば・うどん店"/>
        <s v="建具製造業"/>
        <s v="食肉小売業"/>
        <s v="その他の娯楽業"/>
        <s v="社会教育"/>
        <s v="各種食料品小売業"/>
        <s v="書籍・文房具小売業"/>
        <s v="動植物油脂製造業"/>
        <s v="上水道業"/>
        <s v="貨物運送取扱業（集配利用運送業を除く）"/>
        <s v="一般廃棄物処理業"/>
        <s v="集会場"/>
        <s v="水産食料品製造業"/>
        <s v="セメント・同製品製造業"/>
        <s v="その他の運輸に附帯するサービス業"/>
        <s v="じゅう器小売業"/>
        <s v="スポーツ用品・がん具・娯楽用品・楽器小売業"/>
        <s v="左官工事業"/>
        <s v="船舶製造・修理業，舶用機関製造業"/>
        <s v="パン・菓子製造業"/>
        <s v="がん具・運動用具製造業"/>
        <s v="沿海海運業"/>
        <s v="持ち帰り飲食サービス業"/>
        <s v="自動車賃貸業"/>
        <s v="電気通信・信号装置工事業"/>
        <s v="酒類製造業"/>
        <s v="無機化学工業製品製造業"/>
        <s v="自然科学研究所"/>
        <s v="舗装工事業"/>
        <s v="通信販売・訪問販売小売業"/>
        <s v="公園，遊園地"/>
        <s v="電気機械器具修理業"/>
      </sharedItems>
    </cacheField>
    <cacheField name="産業小分類" numFmtId="0" sqlType="-9">
      <sharedItems count="120">
        <s v="692 貸家業，貸間業"/>
        <s v="762 専門料理店"/>
        <s v="783 美容業"/>
        <s v="765 酒場，ビヤホール"/>
        <s v="694 不動産管理業"/>
        <s v="691 不動産賃貸業（貸家業，貸間業を除く）"/>
        <s v="835 療術業"/>
        <s v="609 他に分類されない小売業"/>
        <s v="824 教養・技能教授業"/>
        <s v="682 不動産代理業・仲介業"/>
        <s v="766 バー，キャバレー，ナイトクラブ"/>
        <s v="782 理容業"/>
        <s v="729 その他の専門サービス業"/>
        <s v="724 公認会計士事務所，税理士事務所"/>
        <s v="742 土木建築サービス業"/>
        <s v="929 他に分類されない事業サービス業"/>
        <s v="589 その他の飲食料品小売業"/>
        <s v="391 ソフトウェア業"/>
        <s v="728 経営コンサルタント業，純粋持株会社"/>
        <s v="833 歯科診療所"/>
        <s v="559 他に分類されない卸売業"/>
        <s v="721 法律事務所，特許事務所"/>
        <s v="414 出版業"/>
        <s v="543 電気機械器具卸売業"/>
        <s v="151 印刷業"/>
        <s v="731 広告業"/>
        <s v="532 化学製品卸売業"/>
        <s v="522 食料・飲料卸売業"/>
        <s v="521 農畜産物・水産物卸売業"/>
        <s v="512 衣服卸売業"/>
        <s v="726 デザイン業"/>
        <s v="513 身の回り品卸売業"/>
        <s v="579 その他の織物・衣服・身の回り品小売業"/>
        <s v="321 貴金属・宝石製品製造業"/>
        <s v="767 喫茶店"/>
        <s v="116 外衣・シャツ製造業（和式を除く）"/>
        <s v="081 電気工事業"/>
        <s v="541 産業機械器具卸売業"/>
        <s v="531 建築材料卸売業"/>
        <s v="078 床・内装工事業"/>
        <s v="781 洗濯業"/>
        <s v="603 医薬品・化粧品小売業"/>
        <s v="573 婦人・子供服小売業"/>
        <s v="083 管工事業（さく井工事業を除く）"/>
        <s v="266 金属加工機械製造業"/>
        <s v="066 建築リフォーム工事業"/>
        <s v="401 インターネット附随サービス業"/>
        <s v="693 駐車場業"/>
        <s v="586 菓子・パン小売業"/>
        <s v="064 建築工事業（木造建築工事業を除く）"/>
        <s v="432 一般乗用旅客自動車運送業"/>
        <s v="079 その他の職別工事業"/>
        <s v="245 金属素形材製品製造業"/>
        <s v="244 建設用・建築用金属製品製造業（製缶板金業を含む）"/>
        <s v="761 食堂，レストラン（専門料理店を除く）"/>
        <s v="572 男子服小売業"/>
        <s v="608 写真機・時計・眼鏡小売業"/>
        <s v="789 その他の洗濯・理容・美容・浴場業"/>
        <s v="799 他に分類されない生活関連サービス業"/>
        <s v="550 管理，補助的経済活動を行う事業所"/>
        <s v="574 靴・履物小売業"/>
        <s v="674 保険媒介代理業"/>
        <s v="764 すし店"/>
        <s v="591 自動車小売業"/>
        <s v="062 土木工事業（舗装工事業を除く）"/>
        <s v="853 児童福祉事業"/>
        <s v="065 木造建築工事業"/>
        <s v="891 自動車整備業"/>
        <s v="823 学習塾"/>
        <s v="077 塗装工事業"/>
        <s v="071 大工工事業"/>
        <s v="922 建物サービス業"/>
        <s v="072 とび・土工・コンクリート工事業"/>
        <s v="269 その他の生産用機械・同部分品製造業"/>
        <s v="246 金属被覆・彫刻業，熱処理業（ほうろう鉄器を除く）"/>
        <s v="329 他に分類されない製造業"/>
        <s v="441 一般貨物自動車運送業"/>
        <s v="593 機械器具小売業（自動車，自転車を除く）"/>
        <s v="854 老人福祉・介護事業"/>
        <s v="855 障害者福祉事業"/>
        <s v="751 旅館，ホテル"/>
        <s v="605 燃料小売業"/>
        <s v="752 簡易宿所"/>
        <s v="585 酒小売業"/>
        <s v="121 製材業，木製品製造業"/>
        <s v="129 その他の木製品製造業（竹，とうを含む）"/>
        <s v="331 電気業"/>
        <s v="759 その他の宿泊業"/>
        <s v="763 そば・うどん店"/>
        <s v="133 建具製造業"/>
        <s v="583 食肉小売業"/>
        <s v="809 その他の娯楽業"/>
        <s v="821 社会教育"/>
        <s v="581 各種食料品小売業"/>
        <s v="606 書籍・文房具小売業"/>
        <s v="098 動植物油脂製造業"/>
        <s v="361 上水道業"/>
        <s v="482 貨物運送取扱業（集配利用運送業を除く）"/>
        <s v="881 一般廃棄物処理業"/>
        <s v="951 集会場"/>
        <s v="092 水産食料品製造業"/>
        <s v="212 セメント・同製品製造業"/>
        <s v="489 その他の運輸に附帯するサービス業"/>
        <s v="602 じゅう器小売業"/>
        <s v="607 スポーツ用品・がん具・娯楽用品・楽器小売業"/>
        <s v="075 左官工事業"/>
        <s v="313 船舶製造・修理業，舶用機関製造業"/>
        <s v="097 パン・菓子製造業"/>
        <s v="325 がん具・運動用具製造業"/>
        <s v="452 沿海海運業"/>
        <s v="771 持ち帰り飲食サービス業"/>
        <s v="704 自動車賃貸業"/>
        <s v="082 電気通信・信号装置工事業"/>
        <s v="102 酒類製造業"/>
        <s v="162 無機化学工業製品製造業"/>
        <s v="711 自然科学研究所"/>
        <s v="063 舗装工事業"/>
        <s v="611 通信販売・訪問販売小売業"/>
        <s v="805 公園，遊園地"/>
        <s v="902 電気機械器具修理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2178" count="418">
        <n v="22178"/>
        <n v="11159"/>
        <n v="10368"/>
        <n v="8744"/>
        <n v="8536"/>
        <n v="8157"/>
        <n v="7627"/>
        <n v="6547"/>
        <n v="6484"/>
        <n v="6336"/>
        <n v="5813"/>
        <n v="5689"/>
        <n v="5683"/>
        <n v="4966"/>
        <n v="4938"/>
        <n v="4768"/>
        <n v="4640"/>
        <n v="4604"/>
        <n v="4583"/>
        <n v="4427"/>
        <n v="17652"/>
        <n v="9319"/>
        <n v="7440"/>
        <n v="7008"/>
        <n v="6866"/>
        <n v="6806"/>
        <n v="5633"/>
        <n v="5230"/>
        <n v="5176"/>
        <n v="4881"/>
        <n v="4598"/>
        <n v="4477"/>
        <n v="4411"/>
        <n v="4171"/>
        <n v="4027"/>
        <n v="3971"/>
        <n v="3842"/>
        <n v="3814"/>
        <n v="3604"/>
        <n v="687"/>
        <n v="681"/>
        <n v="596"/>
        <n v="470"/>
        <n v="455"/>
        <n v="407"/>
        <n v="388"/>
        <n v="371"/>
        <n v="358"/>
        <n v="287"/>
        <n v="253"/>
        <n v="248"/>
        <n v="233"/>
        <n v="222"/>
        <n v="202"/>
        <n v="198"/>
        <n v="187"/>
        <n v="151"/>
        <n v="149"/>
        <n v="618"/>
        <n v="602"/>
        <n v="563"/>
        <n v="446"/>
        <n v="438"/>
        <n v="394"/>
        <n v="391"/>
        <n v="381"/>
        <n v="365"/>
        <n v="353"/>
        <n v="350"/>
        <n v="288"/>
        <n v="269"/>
        <n v="265"/>
        <n v="264"/>
        <n v="246"/>
        <n v="244"/>
        <n v="205"/>
        <n v="197"/>
        <n v="185"/>
        <n v="786"/>
        <n v="721"/>
        <n v="714"/>
        <n v="680"/>
        <n v="661"/>
        <n v="637"/>
        <n v="580"/>
        <n v="437"/>
        <n v="431"/>
        <n v="404"/>
        <n v="382"/>
        <n v="359"/>
        <n v="346"/>
        <n v="281"/>
        <n v="266"/>
        <n v="254"/>
        <n v="249"/>
        <n v="247"/>
        <n v="1007"/>
        <n v="716"/>
        <n v="677"/>
        <n v="560"/>
        <n v="474"/>
        <n v="459"/>
        <n v="450"/>
        <n v="441"/>
        <n v="355"/>
        <n v="327"/>
        <n v="322"/>
        <n v="302"/>
        <n v="276"/>
        <n v="275"/>
        <n v="273"/>
        <n v="239"/>
        <n v="226"/>
        <n v="729"/>
        <n v="267"/>
        <n v="211"/>
        <n v="195"/>
        <n v="159"/>
        <n v="144"/>
        <n v="143"/>
        <n v="139"/>
        <n v="137"/>
        <n v="133"/>
        <n v="132"/>
        <n v="128"/>
        <n v="123"/>
        <n v="122"/>
        <n v="120"/>
        <n v="119"/>
        <n v="117"/>
        <n v="667"/>
        <n v="663"/>
        <n v="527"/>
        <n v="442"/>
        <n v="379"/>
        <n v="349"/>
        <n v="235"/>
        <n v="234"/>
        <n v="223"/>
        <n v="219"/>
        <n v="189"/>
        <n v="184"/>
        <n v="181"/>
        <n v="168"/>
        <n v="160"/>
        <n v="154"/>
        <n v="294"/>
        <n v="257"/>
        <n v="177"/>
        <n v="169"/>
        <n v="156"/>
        <n v="153"/>
        <n v="152"/>
        <n v="116"/>
        <n v="113"/>
        <n v="108"/>
        <n v="101"/>
        <n v="100"/>
        <n v="309"/>
        <n v="286"/>
        <n v="263"/>
        <n v="192"/>
        <n v="178"/>
        <n v="171"/>
        <n v="165"/>
        <n v="163"/>
        <n v="161"/>
        <n v="157"/>
        <n v="142"/>
        <n v="135"/>
        <n v="121"/>
        <n v="118"/>
        <n v="1131"/>
        <n v="408"/>
        <n v="329"/>
        <n v="277"/>
        <n v="252"/>
        <n v="220"/>
        <n v="167"/>
        <n v="146"/>
        <n v="125"/>
        <n v="671"/>
        <n v="310"/>
        <n v="306"/>
        <n v="200"/>
        <n v="148"/>
        <n v="141"/>
        <n v="134"/>
        <n v="127"/>
        <n v="124"/>
        <n v="115"/>
        <n v="90"/>
        <n v="1412"/>
        <n v="583"/>
        <n v="484"/>
        <n v="476"/>
        <n v="422"/>
        <n v="308"/>
        <n v="305"/>
        <n v="284"/>
        <n v="283"/>
        <n v="274"/>
        <n v="242"/>
        <n v="237"/>
        <n v="221"/>
        <n v="215"/>
        <n v="191"/>
        <n v="188"/>
        <n v="1167"/>
        <n v="759"/>
        <n v="565"/>
        <n v="554"/>
        <n v="514"/>
        <n v="468"/>
        <n v="393"/>
        <n v="363"/>
        <n v="343"/>
        <n v="296"/>
        <n v="292"/>
        <n v="262"/>
        <n v="259"/>
        <n v="256"/>
        <n v="236"/>
        <n v="216"/>
        <n v="695"/>
        <n v="525"/>
        <n v="449"/>
        <n v="445"/>
        <n v="420"/>
        <n v="398"/>
        <n v="386"/>
        <n v="376"/>
        <n v="347"/>
        <n v="345"/>
        <n v="318"/>
        <n v="299"/>
        <n v="285"/>
        <n v="280"/>
        <n v="270"/>
        <n v="952"/>
        <n v="166"/>
        <n v="147"/>
        <n v="129"/>
        <n v="98"/>
        <n v="1446"/>
        <n v="505"/>
        <n v="453"/>
        <n v="413"/>
        <n v="367"/>
        <n v="360"/>
        <n v="335"/>
        <n v="331"/>
        <n v="261"/>
        <n v="194"/>
        <n v="190"/>
        <n v="183"/>
        <n v="182"/>
        <n v="164"/>
        <n v="336"/>
        <n v="293"/>
        <n v="271"/>
        <n v="255"/>
        <n v="229"/>
        <n v="203"/>
        <n v="180"/>
        <n v="155"/>
        <n v="240"/>
        <n v="114"/>
        <n v="110"/>
        <n v="102"/>
        <n v="91"/>
        <n v="88"/>
        <n v="84"/>
        <n v="316"/>
        <n v="158"/>
        <n v="150"/>
        <n v="107"/>
        <n v="99"/>
        <n v="72"/>
        <n v="71"/>
        <n v="70"/>
        <n v="67"/>
        <n v="66"/>
        <n v="62"/>
        <n v="61"/>
        <n v="60"/>
        <n v="59"/>
        <n v="593"/>
        <n v="364"/>
        <n v="334"/>
        <n v="289"/>
        <n v="218"/>
        <n v="162"/>
        <n v="145"/>
        <n v="136"/>
        <n v="883"/>
        <n v="489"/>
        <n v="368"/>
        <n v="325"/>
        <n v="279"/>
        <n v="238"/>
        <n v="230"/>
        <n v="206"/>
        <n v="201"/>
        <n v="186"/>
        <n v="730"/>
        <n v="472"/>
        <n v="424"/>
        <n v="370"/>
        <n v="213"/>
        <n v="207"/>
        <n v="176"/>
        <n v="682"/>
        <n v="356"/>
        <n v="342"/>
        <n v="232"/>
        <n v="196"/>
        <n v="138"/>
        <n v="112"/>
        <n v="738"/>
        <n v="409"/>
        <n v="295"/>
        <n v="228"/>
        <n v="193"/>
        <n v="174"/>
        <n v="16"/>
        <n v="15"/>
        <n v="11"/>
        <n v="10"/>
        <n v="5"/>
        <n v="3"/>
        <n v="2"/>
        <n v="433"/>
        <n v="250"/>
        <n v="227"/>
        <n v="172"/>
        <n v="106"/>
        <n v="95"/>
        <n v="80"/>
        <n v="79"/>
        <n v="78"/>
        <n v="65"/>
        <n v="57"/>
        <n v="55"/>
        <n v="54"/>
        <n v="53"/>
        <n v="52"/>
        <n v="51"/>
        <n v="425"/>
        <n v="89"/>
        <n v="86"/>
        <n v="82"/>
        <n v="73"/>
        <n v="64"/>
        <n v="63"/>
        <n v="507"/>
        <n v="96"/>
        <n v="56"/>
        <n v="50"/>
        <n v="48"/>
        <n v="46"/>
        <n v="45"/>
        <n v="44"/>
        <n v="42"/>
        <n v="39"/>
        <n v="38"/>
        <n v="83"/>
        <n v="75"/>
        <n v="58"/>
        <n v="41"/>
        <n v="32"/>
        <n v="94"/>
        <n v="68"/>
        <n v="33"/>
        <n v="29"/>
        <n v="28"/>
        <n v="27"/>
        <n v="25"/>
        <n v="24"/>
        <n v="22"/>
        <n v="21"/>
        <n v="20"/>
        <n v="103"/>
        <n v="74"/>
        <n v="69"/>
        <n v="140"/>
        <n v="130"/>
        <n v="49"/>
        <n v="35"/>
        <n v="30"/>
        <n v="26"/>
        <n v="23"/>
        <n v="93"/>
        <n v="76"/>
        <n v="43"/>
        <n v="37"/>
        <n v="36"/>
        <n v="104"/>
        <n v="40"/>
        <n v="31"/>
        <n v="97"/>
        <n v="34"/>
        <n v="85"/>
        <n v="47"/>
        <n v="18"/>
        <n v="14"/>
        <n v="13"/>
        <n v="12"/>
        <n v="131"/>
        <n v="19"/>
        <n v="17"/>
        <n v="105"/>
        <n v="9"/>
        <n v="7"/>
        <n v="6"/>
        <n v="4"/>
        <n v="8"/>
        <n v="1"/>
      </sharedItems>
    </cacheField>
    <cacheField name="構成比" numFmtId="0" sqlType="3">
      <sharedItems containsSemiMixedTypes="0" containsString="0" containsNumber="1" minValue="1.05" maxValue="37.5" count="362">
        <n v="6.53"/>
        <n v="3.29"/>
        <n v="3.05"/>
        <n v="2.57"/>
        <n v="2.5099999999999998"/>
        <n v="2.4"/>
        <n v="2.25"/>
        <n v="1.93"/>
        <n v="1.91"/>
        <n v="1.87"/>
        <n v="1.71"/>
        <n v="1.67"/>
        <n v="1.46"/>
        <n v="1.45"/>
        <n v="1.4"/>
        <n v="1.37"/>
        <n v="1.36"/>
        <n v="1.35"/>
        <n v="1.3"/>
        <n v="6.56"/>
        <n v="3.46"/>
        <n v="2.76"/>
        <n v="2.6"/>
        <n v="2.5499999999999998"/>
        <n v="2.5299999999999998"/>
        <n v="2.09"/>
        <n v="1.94"/>
        <n v="1.92"/>
        <n v="1.81"/>
        <n v="1.66"/>
        <n v="1.64"/>
        <n v="1.55"/>
        <n v="1.5"/>
        <n v="1.48"/>
        <n v="1.43"/>
        <n v="1.42"/>
        <n v="1.34"/>
        <n v="5.08"/>
        <n v="5.03"/>
        <n v="4.4000000000000004"/>
        <n v="3.47"/>
        <n v="3.36"/>
        <n v="3.01"/>
        <n v="2.87"/>
        <n v="2.74"/>
        <n v="2.65"/>
        <n v="2.12"/>
        <n v="1.83"/>
        <n v="1.72"/>
        <n v="1.49"/>
        <n v="1.38"/>
        <n v="1.1200000000000001"/>
        <n v="1.1000000000000001"/>
        <n v="4.2300000000000004"/>
        <n v="4.12"/>
        <n v="3.85"/>
        <n v="2.99"/>
        <n v="2.69"/>
        <n v="2.67"/>
        <n v="2.61"/>
        <n v="2.5"/>
        <n v="2.41"/>
        <n v="2.39"/>
        <n v="1.97"/>
        <n v="1.84"/>
        <n v="1.68"/>
        <n v="1.26"/>
        <n v="4.4800000000000004"/>
        <n v="4.1100000000000003"/>
        <n v="4.07"/>
        <n v="3.88"/>
        <n v="3.77"/>
        <n v="3.63"/>
        <n v="3.31"/>
        <n v="2.4900000000000002"/>
        <n v="2.46"/>
        <n v="2.2999999999999998"/>
        <n v="2.1800000000000002"/>
        <n v="2.0499999999999998"/>
        <n v="1.6"/>
        <n v="1.52"/>
        <n v="1.41"/>
        <n v="6.42"/>
        <n v="4.5599999999999996"/>
        <n v="4.32"/>
        <n v="3.57"/>
        <n v="3.02"/>
        <n v="2.93"/>
        <n v="2.81"/>
        <n v="2.2799999999999998"/>
        <n v="2.2599999999999998"/>
        <n v="2.08"/>
        <n v="1.76"/>
        <n v="1.75"/>
        <n v="1.74"/>
        <n v="1.56"/>
        <n v="1.44"/>
        <n v="9.58"/>
        <n v="3.51"/>
        <n v="2.97"/>
        <n v="2.77"/>
        <n v="2.56"/>
        <n v="1.89"/>
        <n v="1.88"/>
        <n v="1.8"/>
        <n v="1.73"/>
        <n v="1.62"/>
        <n v="1.58"/>
        <n v="1.54"/>
        <n v="5.07"/>
        <n v="5.04"/>
        <n v="4.01"/>
        <n v="2.88"/>
        <n v="1.79"/>
        <n v="1.78"/>
        <n v="1.69"/>
        <n v="1.28"/>
        <n v="1.22"/>
        <n v="1.17"/>
        <n v="5.21"/>
        <n v="3.23"/>
        <n v="2.82"/>
        <n v="1.95"/>
        <n v="1.86"/>
        <n v="1.53"/>
        <n v="1.51"/>
        <n v="1.31"/>
        <n v="1.27"/>
        <n v="1.24"/>
        <n v="1.19"/>
        <n v="1.1100000000000001"/>
        <n v="4.55"/>
        <n v="3.18"/>
        <n v="2.95"/>
        <n v="2.71"/>
        <n v="1.98"/>
        <n v="1.82"/>
        <n v="1.7"/>
        <n v="1.39"/>
        <n v="1.25"/>
        <n v="1.2"/>
        <n v="1.1599999999999999"/>
        <n v="10.9"/>
        <n v="3.93"/>
        <n v="3.17"/>
        <n v="2.4300000000000002"/>
        <n v="1.63"/>
        <n v="1.61"/>
        <n v="1.23"/>
        <n v="9.1"/>
        <n v="4.21"/>
        <n v="4.1500000000000004"/>
        <n v="3.38"/>
        <n v="2.29"/>
        <n v="2.0099999999999998"/>
        <n v="8.2899999999999991"/>
        <n v="3.42"/>
        <n v="2.84"/>
        <n v="2.79"/>
        <n v="2.48"/>
        <n v="7.21"/>
        <n v="4.6900000000000004"/>
        <n v="3.49"/>
        <n v="3.43"/>
        <n v="2.89"/>
        <n v="2.2400000000000002"/>
        <n v="1.9"/>
        <n v="4.42"/>
        <n v="4.0599999999999996"/>
        <n v="3.6"/>
        <n v="3.34"/>
        <n v="2.86"/>
        <n v="2.83"/>
        <n v="2.21"/>
        <n v="2.2000000000000002"/>
        <n v="2.02"/>
        <n v="12.78"/>
        <n v="3.71"/>
        <n v="3.68"/>
        <n v="3.13"/>
        <n v="2.58"/>
        <n v="2.23"/>
        <n v="1.77"/>
        <n v="1.65"/>
        <n v="1.32"/>
        <n v="11.87"/>
        <n v="3.72"/>
        <n v="3.39"/>
        <n v="2.96"/>
        <n v="2.75"/>
        <n v="2.72"/>
        <n v="2.14"/>
        <n v="2.13"/>
        <n v="2.0299999999999998"/>
        <n v="1.59"/>
        <n v="1.57"/>
        <n v="6.81"/>
        <n v="3.41"/>
        <n v="3.04"/>
        <n v="2.98"/>
        <n v="2.59"/>
        <n v="2.38"/>
        <n v="2.33"/>
        <n v="2.06"/>
        <n v="9.5500000000000007"/>
        <n v="3.59"/>
        <n v="3.37"/>
        <n v="2.54"/>
        <n v="2.19"/>
        <n v="1.18"/>
        <n v="5.89"/>
        <n v="2.8"/>
        <n v="2"/>
        <n v="1.85"/>
        <n v="1.1399999999999999"/>
        <n v="5.69"/>
        <n v="3.21"/>
        <n v="2.66"/>
        <n v="2.4500000000000002"/>
        <n v="6.96"/>
        <n v="3.86"/>
        <n v="2.9"/>
        <n v="1.47"/>
        <n v="5.14"/>
        <n v="3.32"/>
        <n v="6.76"/>
        <n v="3.53"/>
        <n v="1.1299999999999999"/>
        <n v="6.14"/>
        <n v="3.4"/>
        <n v="11.94"/>
        <n v="11.19"/>
        <n v="8.2100000000000009"/>
        <n v="7.46"/>
        <n v="3.73"/>
        <n v="4.9000000000000004"/>
        <n v="4.46"/>
        <n v="2.63"/>
        <n v="2.34"/>
        <n v="2.0699999999999998"/>
        <n v="4.51"/>
        <n v="3.7"/>
        <n v="2.15"/>
        <n v="1.96"/>
        <n v="10.01"/>
        <n v="4.67"/>
        <n v="3.84"/>
        <n v="3.44"/>
        <n v="3.25"/>
        <n v="3.16"/>
        <n v="2.92"/>
        <n v="2.1"/>
        <n v="16.8"/>
        <n v="3.78"/>
        <n v="2.35"/>
        <n v="1.29"/>
        <n v="3.96"/>
        <n v="3"/>
        <n v="2.52"/>
        <n v="2.36"/>
        <n v="2.3199999999999998"/>
        <n v="2.04"/>
        <n v="8.61"/>
        <n v="2.44"/>
        <n v="5.23"/>
        <n v="4.25"/>
        <n v="3.54"/>
        <n v="3.33"/>
        <n v="3.22"/>
        <n v="3.11"/>
        <n v="1.1499999999999999"/>
        <n v="1.0900000000000001"/>
        <n v="6.4"/>
        <n v="5.27"/>
        <n v="3.98"/>
        <n v="8.5299999999999994"/>
        <n v="4.08"/>
        <n v="3.06"/>
        <n v="2.94"/>
        <n v="2.7"/>
        <n v="6.44"/>
        <n v="3.61"/>
        <n v="3.07"/>
        <n v="10.81"/>
        <n v="4.5"/>
        <n v="4.0999999999999996"/>
        <n v="3.12"/>
        <n v="4.79"/>
        <n v="2.42"/>
        <n v="6.52"/>
        <n v="4.43"/>
        <n v="4.17"/>
        <n v="3.08"/>
        <n v="8"/>
        <n v="4.75"/>
        <n v="3.58"/>
        <n v="2.4700000000000002"/>
        <n v="6.13"/>
        <n v="4.7300000000000004"/>
        <n v="4.5199999999999996"/>
        <n v="3.76"/>
        <n v="10.52"/>
        <n v="3.69"/>
        <n v="2.73"/>
        <n v="2.17"/>
        <n v="3.27"/>
        <n v="5.72"/>
        <n v="4.34"/>
        <n v="5.84"/>
        <n v="3.82"/>
        <n v="2.62"/>
        <n v="2.2200000000000002"/>
        <n v="1.99"/>
        <n v="5.0199999999999996"/>
        <n v="4.96"/>
        <n v="3.09"/>
        <n v="11.61"/>
        <n v="6.36"/>
        <n v="5.48"/>
        <n v="4.99"/>
        <n v="4.7"/>
        <n v="3.91"/>
        <n v="4.71"/>
        <n v="6.72"/>
        <n v="4.33"/>
        <n v="4.38"/>
        <n v="3.97"/>
        <n v="4.68"/>
        <n v="3.8"/>
        <n v="8.11"/>
        <n v="6.31"/>
        <n v="6.2"/>
        <n v="5.43"/>
        <n v="4.6500000000000004"/>
        <n v="11.2"/>
        <n v="3.2"/>
        <n v="28.57"/>
        <n v="14.29"/>
        <n v="9.52"/>
        <n v="4.76"/>
        <n v="34.619999999999997"/>
        <n v="4.49"/>
        <n v="27.34"/>
        <n v="5.47"/>
        <n v="13.07"/>
        <n v="9.09"/>
        <n v="5.1100000000000003"/>
        <n v="2.27"/>
        <n v="37.5"/>
        <n v="12.5"/>
        <n v="6.25"/>
        <n v="8.3800000000000008"/>
        <n v="7.26"/>
        <n v="6.7"/>
        <n v="25"/>
        <n v="16.670000000000002"/>
        <n v="8.33"/>
        <n v="15.71"/>
        <n v="9.9499999999999993"/>
        <n v="3.66"/>
        <n v="3.14"/>
        <n v="1.05"/>
      </sharedItems>
    </cacheField>
    <cacheField name="総数（個人）" numFmtId="0" sqlType="4">
      <sharedItems containsSemiMixedTypes="0" containsString="0" containsNumber="1" containsInteger="1" minValue="0" maxValue="8402" count="275">
        <n v="8402"/>
        <n v="7071"/>
        <n v="7781"/>
        <n v="6660"/>
        <n v="286"/>
        <n v="1415"/>
        <n v="5888"/>
        <n v="3258"/>
        <n v="4020"/>
        <n v="439"/>
        <n v="4674"/>
        <n v="5070"/>
        <n v="269"/>
        <n v="4646"/>
        <n v="866"/>
        <n v="228"/>
        <n v="2306"/>
        <n v="62"/>
        <n v="101"/>
        <n v="3908"/>
        <n v="6476"/>
        <n v="5697"/>
        <n v="5446"/>
        <n v="5197"/>
        <n v="1235"/>
        <n v="234"/>
        <n v="4217"/>
        <n v="362"/>
        <n v="2540"/>
        <n v="212"/>
        <n v="3607"/>
        <n v="2581"/>
        <n v="4120"/>
        <n v="194"/>
        <n v="82"/>
        <n v="3516"/>
        <n v="610"/>
        <n v="40"/>
        <n v="236"/>
        <n v="1782"/>
        <n v="151"/>
        <n v="638"/>
        <n v="546"/>
        <n v="12"/>
        <n v="19"/>
        <n v="4"/>
        <n v="29"/>
        <n v="5"/>
        <n v="156"/>
        <n v="10"/>
        <n v="115"/>
        <n v="7"/>
        <n v="22"/>
        <n v="3"/>
        <n v="6"/>
        <n v="36"/>
        <n v="0"/>
        <n v="1"/>
        <n v="123"/>
        <n v="264"/>
        <n v="513"/>
        <n v="235"/>
        <n v="418"/>
        <n v="15"/>
        <n v="16"/>
        <n v="18"/>
        <n v="110"/>
        <n v="185"/>
        <n v="2"/>
        <n v="8"/>
        <n v="9"/>
        <n v="160"/>
        <n v="11"/>
        <n v="48"/>
        <n v="75"/>
        <n v="271"/>
        <n v="20"/>
        <n v="596"/>
        <n v="209"/>
        <n v="317"/>
        <n v="208"/>
        <n v="78"/>
        <n v="136"/>
        <n v="206"/>
        <n v="152"/>
        <n v="353"/>
        <n v="391"/>
        <n v="555"/>
        <n v="117"/>
        <n v="268"/>
        <n v="421"/>
        <n v="54"/>
        <n v="309"/>
        <n v="221"/>
        <n v="14"/>
        <n v="181"/>
        <n v="97"/>
        <n v="121"/>
        <n v="26"/>
        <n v="290"/>
        <n v="159"/>
        <n v="84"/>
        <n v="99"/>
        <n v="64"/>
        <n v="21"/>
        <n v="100"/>
        <n v="93"/>
        <n v="109"/>
        <n v="241"/>
        <n v="39"/>
        <n v="332"/>
        <n v="120"/>
        <n v="174"/>
        <n v="34"/>
        <n v="195"/>
        <n v="215"/>
        <n v="80"/>
        <n v="87"/>
        <n v="55"/>
        <n v="132"/>
        <n v="127"/>
        <n v="128"/>
        <n v="164"/>
        <n v="203"/>
        <n v="146"/>
        <n v="33"/>
        <n v="133"/>
        <n v="46"/>
        <n v="51"/>
        <n v="131"/>
        <n v="105"/>
        <n v="67"/>
        <n v="89"/>
        <n v="95"/>
        <n v="190"/>
        <n v="213"/>
        <n v="142"/>
        <n v="155"/>
        <n v="81"/>
        <n v="17"/>
        <n v="13"/>
        <n v="45"/>
        <n v="647"/>
        <n v="251"/>
        <n v="210"/>
        <n v="169"/>
        <n v="43"/>
        <n v="167"/>
        <n v="129"/>
        <n v="49"/>
        <n v="219"/>
        <n v="165"/>
        <n v="23"/>
        <n v="122"/>
        <n v="44"/>
        <n v="42"/>
        <n v="629"/>
        <n v="380"/>
        <n v="367"/>
        <n v="383"/>
        <n v="261"/>
        <n v="281"/>
        <n v="52"/>
        <n v="260"/>
        <n v="173"/>
        <n v="144"/>
        <n v="153"/>
        <n v="98"/>
        <n v="47"/>
        <n v="552"/>
        <n v="390"/>
        <n v="393"/>
        <n v="283"/>
        <n v="192"/>
        <n v="30"/>
        <n v="279"/>
        <n v="61"/>
        <n v="125"/>
        <n v="91"/>
        <n v="379"/>
        <n v="267"/>
        <n v="69"/>
        <n v="103"/>
        <n v="204"/>
        <n v="257"/>
        <n v="182"/>
        <n v="500"/>
        <n v="145"/>
        <n v="66"/>
        <n v="25"/>
        <n v="107"/>
        <n v="708"/>
        <n v="375"/>
        <n v="325"/>
        <n v="305"/>
        <n v="293"/>
        <n v="225"/>
        <n v="230"/>
        <n v="218"/>
        <n v="38"/>
        <n v="197"/>
        <n v="170"/>
        <n v="74"/>
        <n v="176"/>
        <n v="71"/>
        <n v="205"/>
        <n v="56"/>
        <n v="278"/>
        <n v="188"/>
        <n v="172"/>
        <n v="106"/>
        <n v="94"/>
        <n v="28"/>
        <n v="374"/>
        <n v="199"/>
        <n v="180"/>
        <n v="196"/>
        <n v="140"/>
        <n v="77"/>
        <n v="108"/>
        <n v="59"/>
        <n v="60"/>
        <n v="126"/>
        <n v="112"/>
        <n v="70"/>
        <n v="68"/>
        <n v="50"/>
        <n v="37"/>
        <n v="233"/>
        <n v="282"/>
        <n v="244"/>
        <n v="246"/>
        <n v="227"/>
        <n v="388"/>
        <n v="300"/>
        <n v="245"/>
        <n v="186"/>
        <n v="343"/>
        <n v="389"/>
        <n v="377"/>
        <n v="365"/>
        <n v="284"/>
        <n v="328"/>
        <n v="41"/>
        <n v="143"/>
        <n v="130"/>
        <n v="318"/>
        <n v="166"/>
        <n v="118"/>
        <n v="76"/>
        <n v="189"/>
        <n v="224"/>
        <n v="27"/>
        <n v="357"/>
        <n v="216"/>
        <n v="158"/>
        <n v="90"/>
        <n v="361"/>
        <n v="53"/>
        <n v="35"/>
        <n v="24"/>
        <n v="163"/>
        <n v="73"/>
        <n v="65"/>
        <n v="88"/>
        <n v="79"/>
        <n v="31"/>
        <n v="32"/>
        <n v="63"/>
        <n v="58"/>
        <n v="150"/>
        <n v="92"/>
        <n v="57"/>
        <n v="86"/>
        <n v="72"/>
      </sharedItems>
    </cacheField>
    <cacheField name="構成比（個人）" numFmtId="0" sqlType="3">
      <sharedItems containsSemiMixedTypes="0" containsString="0" containsNumber="1" minValue="0" maxValue="46.15" count="573">
        <n v="7.27"/>
        <n v="6.12"/>
        <n v="6.74"/>
        <n v="5.77"/>
        <n v="0.25"/>
        <n v="1.23"/>
        <n v="5.0999999999999996"/>
        <n v="2.82"/>
        <n v="3.48"/>
        <n v="0.38"/>
        <n v="4.05"/>
        <n v="4.3899999999999997"/>
        <n v="0.23"/>
        <n v="4.0199999999999996"/>
        <n v="0.75"/>
        <n v="0.2"/>
        <n v="2"/>
        <n v="0.05"/>
        <n v="0.09"/>
        <n v="3.38"/>
        <n v="7.44"/>
        <n v="6.54"/>
        <n v="6.25"/>
        <n v="5.97"/>
        <n v="1.42"/>
        <n v="0.27"/>
        <n v="4.84"/>
        <n v="0.42"/>
        <n v="2.92"/>
        <n v="0.24"/>
        <n v="4.1399999999999997"/>
        <n v="2.96"/>
        <n v="4.7300000000000004"/>
        <n v="0.22"/>
        <n v="4.04"/>
        <n v="0.7"/>
        <n v="2.0499999999999998"/>
        <n v="5.62"/>
        <n v="23.74"/>
        <n v="20.32"/>
        <n v="0.45"/>
        <n v="0.71"/>
        <n v="0.15"/>
        <n v="1.08"/>
        <n v="0.19"/>
        <n v="5.81"/>
        <n v="0.37"/>
        <n v="4.28"/>
        <n v="0.26"/>
        <n v="0.82"/>
        <n v="0.11"/>
        <n v="1.34"/>
        <n v="0"/>
        <n v="0.04"/>
        <n v="3.84"/>
        <n v="8.24"/>
        <n v="16.02"/>
        <n v="7.34"/>
        <n v="13.05"/>
        <n v="0.47"/>
        <n v="0.5"/>
        <n v="0.56000000000000005"/>
        <n v="3.44"/>
        <n v="5.78"/>
        <n v="0.16"/>
        <n v="0.03"/>
        <n v="0.06"/>
        <n v="0.28000000000000003"/>
        <n v="5"/>
        <n v="0.34"/>
        <n v="1.48"/>
        <n v="2.31"/>
        <n v="8.35"/>
        <n v="0.62"/>
        <n v="0.31"/>
        <n v="18.36"/>
        <n v="6.44"/>
        <n v="9.76"/>
        <n v="6.41"/>
        <n v="2.4"/>
        <n v="4.1900000000000004"/>
        <n v="0.68"/>
        <n v="6.34"/>
        <n v="0.89"/>
        <n v="4.68"/>
        <n v="7.6"/>
        <n v="8.41"/>
        <n v="11.94"/>
        <n v="2.52"/>
        <n v="9.06"/>
        <n v="0.32"/>
        <n v="1.1599999999999999"/>
        <n v="6.65"/>
        <n v="0.13"/>
        <n v="4.76"/>
        <n v="0.3"/>
        <n v="3.89"/>
        <n v="2.09"/>
        <n v="2.6"/>
        <n v="11.76"/>
        <n v="6.45"/>
        <n v="3.41"/>
        <n v="0.56999999999999995"/>
        <n v="0.65"/>
        <n v="6.16"/>
        <n v="4.46"/>
        <n v="4.01"/>
        <n v="0.85"/>
        <n v="4.0599999999999996"/>
        <n v="3.77"/>
        <n v="3.93"/>
        <n v="0.12"/>
        <n v="0.49"/>
        <n v="4.42"/>
        <n v="5.76"/>
        <n v="0.93"/>
        <n v="7.93"/>
        <n v="2.87"/>
        <n v="4.16"/>
        <n v="6.4"/>
        <n v="0.53"/>
        <n v="0.81"/>
        <n v="4.66"/>
        <n v="5.14"/>
        <n v="1.91"/>
        <n v="0.17"/>
        <n v="7.0000000000000007E-2"/>
        <n v="2.08"/>
        <n v="1.31"/>
        <n v="3.15"/>
        <n v="3.03"/>
        <n v="3.06"/>
        <n v="0.36"/>
        <n v="5.01"/>
        <n v="6.2"/>
        <n v="6.39"/>
        <n v="1.01"/>
        <n v="1.41"/>
        <n v="1.56"/>
        <n v="4"/>
        <n v="2.38"/>
        <n v="3.21"/>
        <n v="2.72"/>
        <n v="2.9"/>
        <n v="3.04"/>
        <n v="7.52"/>
        <n v="1.61"/>
        <n v="7.45"/>
        <n v="4.97"/>
        <n v="5.42"/>
        <n v="0.52"/>
        <n v="0.21"/>
        <n v="2.94"/>
        <n v="2.83"/>
        <n v="0.59"/>
        <n v="1.57"/>
        <n v="0.35"/>
        <n v="18.059999999999999"/>
        <n v="7.37"/>
        <n v="7.01"/>
        <n v="5.86"/>
        <n v="4.72"/>
        <n v="1.2"/>
        <n v="2.48"/>
        <n v="2.4300000000000002"/>
        <n v="3.8"/>
        <n v="2.34"/>
        <n v="3.6"/>
        <n v="1.37"/>
        <n v="9.9499999999999993"/>
        <n v="9.77"/>
        <n v="7.5"/>
        <n v="1.04"/>
        <n v="3.95"/>
        <n v="5.54"/>
        <n v="0.41"/>
        <n v="0.64"/>
        <n v="0.14000000000000001"/>
        <n v="2.91"/>
        <n v="0.95"/>
        <n v="5.32"/>
        <n v="4.5"/>
        <n v="0.55000000000000004"/>
        <n v="1"/>
        <n v="10.68"/>
        <n v="6.23"/>
        <n v="6.51"/>
        <n v="4.43"/>
        <n v="4.7699999999999996"/>
        <n v="0.88"/>
        <n v="2.4500000000000002"/>
        <n v="0.66"/>
        <n v="1.66"/>
        <n v="3.55"/>
        <n v="0.8"/>
        <n v="4.32"/>
        <n v="10.119999999999999"/>
        <n v="7.15"/>
        <n v="0.18"/>
        <n v="7.2"/>
        <n v="5.19"/>
        <n v="3.52"/>
        <n v="5.1100000000000003"/>
        <n v="1.1200000000000001"/>
        <n v="1.63"/>
        <n v="1.78"/>
        <n v="2.29"/>
        <n v="2.67"/>
        <n v="11.11"/>
        <n v="7.83"/>
        <n v="2.02"/>
        <n v="1.88"/>
        <n v="0.44"/>
        <n v="1.52"/>
        <n v="3.02"/>
        <n v="3.9"/>
        <n v="5.98"/>
        <n v="4.57"/>
        <n v="7.53"/>
        <n v="5.34"/>
        <n v="16.73"/>
        <n v="6.96"/>
        <n v="6.49"/>
        <n v="6.19"/>
        <n v="4.8499999999999996"/>
        <n v="3.35"/>
        <n v="3.11"/>
        <n v="4.12"/>
        <n v="2.21"/>
        <n v="0.84"/>
        <n v="3.58"/>
        <n v="3.65"/>
        <n v="1.84"/>
        <n v="0.4"/>
        <n v="3.05"/>
        <n v="13.8"/>
        <n v="7.31"/>
        <n v="0.28999999999999998"/>
        <n v="5.95"/>
        <n v="5.71"/>
        <n v="4.4800000000000004"/>
        <n v="4.25"/>
        <n v="0.57999999999999996"/>
        <n v="0.74"/>
        <n v="3.31"/>
        <n v="1.44"/>
        <n v="3.22"/>
        <n v="3.43"/>
        <n v="1.7"/>
        <n v="1.38"/>
        <n v="6.53"/>
        <n v="6.21"/>
        <n v="8.86"/>
        <n v="6.76"/>
        <n v="0.67"/>
        <n v="5.99"/>
        <n v="5.48"/>
        <n v="3"/>
        <n v="4.59"/>
        <n v="4.1100000000000003"/>
        <n v="12.34"/>
        <n v="6.56"/>
        <n v="5.94"/>
        <n v="6.46"/>
        <n v="4.75"/>
        <n v="4.62"/>
        <n v="3.13"/>
        <n v="2.54"/>
        <n v="2.77"/>
        <n v="3.56"/>
        <n v="3.63"/>
        <n v="0.73"/>
        <n v="1.95"/>
        <n v="0.43"/>
        <n v="0.46"/>
        <n v="0.92"/>
        <n v="1.98"/>
        <n v="7.86"/>
        <n v="5.63"/>
        <n v="5.45"/>
        <n v="0.94"/>
        <n v="2.19"/>
        <n v="2.23"/>
        <n v="0.54"/>
        <n v="1.79"/>
        <n v="0.63"/>
        <n v="1.65"/>
        <n v="2.41"/>
        <n v="6.97"/>
        <n v="6.03"/>
        <n v="6.6"/>
        <n v="6.08"/>
        <n v="5.61"/>
        <n v="2.5499999999999998"/>
        <n v="1.93"/>
        <n v="0.72"/>
        <n v="3.26"/>
        <n v="8.18"/>
        <n v="6.33"/>
        <n v="5.17"/>
        <n v="4.9800000000000004"/>
        <n v="2.13"/>
        <n v="4.2"/>
        <n v="3.92"/>
        <n v="2.5299999999999998"/>
        <n v="5.66"/>
        <n v="6.42"/>
        <n v="6.22"/>
        <n v="6.02"/>
        <n v="5.41"/>
        <n v="3.74"/>
        <n v="0.69"/>
        <n v="0.76"/>
        <n v="2.36"/>
        <n v="2.75"/>
        <n v="0.48"/>
        <n v="2.14"/>
        <n v="8.4600000000000009"/>
        <n v="7.33"/>
        <n v="6.43"/>
        <n v="5.0199999999999996"/>
        <n v="3.83"/>
        <n v="2.5099999999999998"/>
        <n v="2.4700000000000002"/>
        <n v="0.6"/>
        <n v="1.75"/>
        <n v="2.42"/>
        <n v="1.18"/>
        <n v="7.67"/>
        <n v="6.13"/>
        <n v="4.91"/>
        <n v="5.28"/>
        <n v="3.57"/>
        <n v="28.57"/>
        <n v="25"/>
        <n v="7.14"/>
        <n v="9.4"/>
        <n v="4.95"/>
        <n v="5.69"/>
        <n v="5.0599999999999996"/>
        <n v="0.97"/>
        <n v="0.79"/>
        <n v="1.76"/>
        <n v="0.87"/>
        <n v="0.39"/>
        <n v="1.47"/>
        <n v="3.82"/>
        <n v="8.4499999999999993"/>
        <n v="7.41"/>
        <n v="6.37"/>
        <n v="4.78"/>
        <n v="4.9400000000000004"/>
        <n v="2.0699999999999998"/>
        <n v="0.08"/>
        <n v="3.67"/>
        <n v="11.59"/>
        <n v="8.57"/>
        <n v="5.43"/>
        <n v="6.94"/>
        <n v="4.53"/>
        <n v="5.25"/>
        <n v="1.51"/>
        <n v="1.21"/>
        <n v="1.1499999999999999"/>
        <n v="0.91"/>
        <n v="28.14"/>
        <n v="6.55"/>
        <n v="4.13"/>
        <n v="3.2"/>
        <n v="0.86"/>
        <n v="2.57"/>
        <n v="2.73"/>
        <n v="7.04"/>
        <n v="5.96"/>
        <n v="1.55"/>
        <n v="5.26"/>
        <n v="3.64"/>
        <n v="3.87"/>
        <n v="2.63"/>
        <n v="1.24"/>
        <n v="3.25"/>
        <n v="1.86"/>
        <n v="2.71"/>
        <n v="10.77"/>
        <n v="8.59"/>
        <n v="6.8"/>
        <n v="4.82"/>
        <n v="4.29"/>
        <n v="5.22"/>
        <n v="2.58"/>
        <n v="4.03"/>
        <n v="3.7"/>
        <n v="4.87"/>
        <n v="7.05"/>
        <n v="6.92"/>
        <n v="5.64"/>
        <n v="7.18"/>
        <n v="0.51"/>
        <n v="1.03"/>
        <n v="2.44"/>
        <n v="2.69"/>
        <n v="6.64"/>
        <n v="5.21"/>
        <n v="5.29"/>
        <n v="3.78"/>
        <n v="4.51"/>
        <n v="9.02"/>
        <n v="6.79"/>
        <n v="1.26"/>
        <n v="2.65"/>
        <n v="1.07"/>
        <n v="2.74"/>
        <n v="3.72"/>
        <n v="9.59"/>
        <n v="7.7"/>
        <n v="5.03"/>
        <n v="5.82"/>
        <n v="2.04"/>
        <n v="3.46"/>
        <n v="1.1000000000000001"/>
        <n v="3.3"/>
        <n v="2.99"/>
        <n v="6.91"/>
        <n v="7.82"/>
        <n v="7.36"/>
        <n v="6"/>
        <n v="5.73"/>
        <n v="2.27"/>
        <n v="1.0900000000000001"/>
        <n v="3.27"/>
        <n v="15.99"/>
        <n v="7.99"/>
        <n v="5.87"/>
        <n v="4.17"/>
        <n v="4.34"/>
        <n v="3.23"/>
        <n v="1.28"/>
        <n v="3.32"/>
        <n v="1.87"/>
        <n v="1.1100000000000001"/>
        <n v="1.02"/>
        <n v="9.2200000000000006"/>
        <n v="3.28"/>
        <n v="7.94"/>
        <n v="6.67"/>
        <n v="2.97"/>
        <n v="2.12"/>
        <n v="3.39"/>
        <n v="8.32"/>
        <n v="7.9"/>
        <n v="7.19"/>
        <n v="3.53"/>
        <n v="1.27"/>
        <n v="4.37"/>
        <n v="0.99"/>
        <n v="1.1299999999999999"/>
        <n v="2.68"/>
        <n v="8.1"/>
        <n v="4.8899999999999997"/>
        <n v="5.2"/>
        <n v="5.5"/>
        <n v="0.61"/>
        <n v="1.99"/>
        <n v="11.09"/>
        <n v="7.24"/>
        <n v="9.2799999999999994"/>
        <n v="1.36"/>
        <n v="6.11"/>
        <n v="2.4900000000000002"/>
        <n v="0.9"/>
        <n v="1.58"/>
        <n v="13.83"/>
        <n v="8.89"/>
        <n v="5.53"/>
        <n v="4.1500000000000004"/>
        <n v="4.55"/>
        <n v="2.17"/>
        <n v="0.33"/>
        <n v="6.71"/>
        <n v="6.06"/>
        <n v="5.4"/>
        <n v="0.98"/>
        <n v="1.64"/>
        <n v="1.8"/>
        <n v="9.27"/>
        <n v="7.1"/>
        <n v="5.72"/>
        <n v="6.9"/>
        <n v="2.37"/>
        <n v="2.56"/>
        <n v="3.75"/>
        <n v="6.29"/>
        <n v="6.85"/>
        <n v="1.54"/>
        <n v="1.4"/>
        <n v="2.1"/>
        <n v="3.36"/>
        <n v="7.77"/>
        <n v="2.86"/>
        <n v="5.52"/>
        <n v="4.7"/>
        <n v="1.43"/>
        <n v="2.66"/>
        <n v="12.19"/>
        <n v="8.8800000000000008"/>
        <n v="7.23"/>
        <n v="4.96"/>
        <n v="1.45"/>
        <n v="20.260000000000002"/>
        <n v="4.5999999999999996"/>
        <n v="5.16"/>
        <n v="3.68"/>
        <n v="3.5"/>
        <n v="2.39"/>
        <n v="2.95"/>
        <n v="11.55"/>
        <n v="9.9600000000000009"/>
        <n v="9.56"/>
        <n v="7.97"/>
        <n v="7.17"/>
        <n v="5.38"/>
        <n v="1.59"/>
        <n v="1.39"/>
        <n v="9.15"/>
        <n v="4.6500000000000004"/>
        <n v="1.35"/>
        <n v="2.7"/>
        <n v="2.85"/>
        <n v="1.05"/>
        <n v="2.25"/>
        <n v="5.7"/>
        <n v="3.88"/>
        <n v="1.74"/>
        <n v="5.35"/>
        <n v="2.2000000000000002"/>
        <n v="4.8600000000000003"/>
        <n v="5.56"/>
        <n v="2.78"/>
        <n v="8.2200000000000006"/>
        <n v="12.33"/>
        <n v="14.04"/>
        <n v="4.26"/>
        <n v="3.4"/>
        <n v="2.98"/>
        <n v="40"/>
        <n v="20"/>
        <n v="13.33"/>
        <n v="43.09"/>
        <n v="30.84"/>
        <n v="4.67"/>
        <n v="2.8"/>
        <n v="16.91"/>
        <n v="10.29"/>
        <n v="6.62"/>
        <n v="4.41"/>
        <n v="5.15"/>
        <n v="46.15"/>
        <n v="7.69"/>
        <n v="15.38"/>
        <n v="11.67"/>
        <n v="8.75"/>
        <n v="5.83"/>
        <n v="4.58"/>
        <n v="2.5"/>
        <n v="1.25"/>
        <n v="1.67"/>
        <n v="0.83"/>
        <n v="33.33"/>
        <n v="16.670000000000002"/>
        <n v="20.16"/>
        <n v="14.52"/>
        <n v="12.1"/>
        <n v="5.65"/>
      </sharedItems>
    </cacheField>
    <cacheField name="総数（法人）" numFmtId="0" sqlType="4">
      <sharedItems containsSemiMixedTypes="0" containsString="0" containsNumber="1" containsInteger="1" minValue="0" maxValue="13770" count="321">
        <n v="13770"/>
        <n v="4085"/>
        <n v="2587"/>
        <n v="2083"/>
        <n v="8215"/>
        <n v="6739"/>
        <n v="1738"/>
        <n v="3287"/>
        <n v="2438"/>
        <n v="5897"/>
        <n v="1137"/>
        <n v="619"/>
        <n v="5395"/>
        <n v="320"/>
        <n v="4028"/>
        <n v="4456"/>
        <n v="2333"/>
        <n v="4540"/>
        <n v="4477"/>
        <n v="515"/>
        <n v="11172"/>
        <n v="3619"/>
        <n v="1994"/>
        <n v="1811"/>
        <n v="5629"/>
        <n v="6541"/>
        <n v="1415"/>
        <n v="4868"/>
        <n v="2635"/>
        <n v="4652"/>
        <n v="990"/>
        <n v="1874"/>
        <n v="291"/>
        <n v="3911"/>
        <n v="3942"/>
        <n v="455"/>
        <n v="3200"/>
        <n v="3773"/>
        <n v="3366"/>
        <n v="1822"/>
        <n v="536"/>
        <n v="43"/>
        <n v="50"/>
        <n v="458"/>
        <n v="433"/>
        <n v="403"/>
        <n v="359"/>
        <n v="202"/>
        <n v="275"/>
        <n v="138"/>
        <n v="244"/>
        <n v="222"/>
        <n v="209"/>
        <n v="217"/>
        <n v="198"/>
        <n v="192"/>
        <n v="151"/>
        <n v="148"/>
        <n v="495"/>
        <n v="338"/>
        <n v="211"/>
        <n v="20"/>
        <n v="378"/>
        <n v="375"/>
        <n v="342"/>
        <n v="243"/>
        <n v="165"/>
        <n v="282"/>
        <n v="267"/>
        <n v="263"/>
        <n v="255"/>
        <n v="231"/>
        <n v="235"/>
        <n v="45"/>
        <n v="194"/>
        <n v="174"/>
        <n v="738"/>
        <n v="646"/>
        <n v="443"/>
        <n v="654"/>
        <n v="651"/>
        <n v="41"/>
        <n v="553"/>
        <n v="432"/>
        <n v="422"/>
        <n v="195"/>
        <n v="382"/>
        <n v="42"/>
        <n v="203"/>
        <n v="130"/>
        <n v="47"/>
        <n v="220"/>
        <n v="245"/>
        <n v="94"/>
        <n v="324"/>
        <n v="122"/>
        <n v="206"/>
        <n v="38"/>
        <n v="425"/>
        <n v="426"/>
        <n v="303"/>
        <n v="347"/>
        <n v="18"/>
        <n v="316"/>
        <n v="81"/>
        <n v="274"/>
        <n v="92"/>
        <n v="147"/>
        <n v="117"/>
        <n v="212"/>
        <n v="171"/>
        <n v="439"/>
        <n v="108"/>
        <n v="180"/>
        <n v="188"/>
        <n v="7"/>
        <n v="34"/>
        <n v="75"/>
        <n v="115"/>
        <n v="119"/>
        <n v="32"/>
        <n v="35"/>
        <n v="26"/>
        <n v="10"/>
        <n v="104"/>
        <n v="624"/>
        <n v="322"/>
        <n v="205"/>
        <n v="252"/>
        <n v="201"/>
        <n v="8"/>
        <n v="186"/>
        <n v="100"/>
        <n v="166"/>
        <n v="129"/>
        <n v="49"/>
        <n v="308"/>
        <n v="91"/>
        <n v="48"/>
        <n v="52"/>
        <n v="156"/>
        <n v="167"/>
        <n v="36"/>
        <n v="110"/>
        <n v="102"/>
        <n v="143"/>
        <n v="59"/>
        <n v="23"/>
        <n v="107"/>
        <n v="24"/>
        <n v="5"/>
        <n v="355"/>
        <n v="71"/>
        <n v="162"/>
        <n v="82"/>
        <n v="144"/>
        <n v="135"/>
        <n v="113"/>
        <n v="73"/>
        <n v="114"/>
        <n v="103"/>
        <n v="484"/>
        <n v="78"/>
        <n v="67"/>
        <n v="241"/>
        <n v="80"/>
        <n v="160"/>
        <n v="155"/>
        <n v="13"/>
        <n v="62"/>
        <n v="79"/>
        <n v="105"/>
        <n v="452"/>
        <n v="95"/>
        <n v="140"/>
        <n v="242"/>
        <n v="177"/>
        <n v="139"/>
        <n v="145"/>
        <n v="31"/>
        <n v="124"/>
        <n v="25"/>
        <n v="88"/>
        <n v="68"/>
        <n v="783"/>
        <n v="93"/>
        <n v="406"/>
        <n v="27"/>
        <n v="253"/>
        <n v="218"/>
        <n v="28"/>
        <n v="214"/>
        <n v="168"/>
        <n v="184"/>
        <n v="930"/>
        <n v="207"/>
        <n v="175"/>
        <n v="540"/>
        <n v="121"/>
        <n v="183"/>
        <n v="335"/>
        <n v="84"/>
        <n v="278"/>
        <n v="21"/>
        <n v="254"/>
        <n v="127"/>
        <n v="225"/>
        <n v="182"/>
        <n v="604"/>
        <n v="258"/>
        <n v="298"/>
        <n v="456"/>
        <n v="431"/>
        <n v="385"/>
        <n v="402"/>
        <n v="379"/>
        <n v="344"/>
        <n v="343"/>
        <n v="281"/>
        <n v="276"/>
        <n v="66"/>
        <n v="53"/>
        <n v="136"/>
        <n v="14"/>
        <n v="116"/>
        <n v="16"/>
        <n v="46"/>
        <n v="86"/>
        <n v="96"/>
        <n v="128"/>
        <n v="397"/>
        <n v="229"/>
        <n v="197"/>
        <n v="146"/>
        <n v="6"/>
        <n v="77"/>
        <n v="466"/>
        <n v="141"/>
        <n v="15"/>
        <n v="61"/>
        <n v="250"/>
        <n v="216"/>
        <n v="98"/>
        <n v="152"/>
        <n v="176"/>
        <n v="33"/>
        <n v="12"/>
        <n v="306"/>
        <n v="57"/>
        <n v="60"/>
        <n v="40"/>
        <n v="37"/>
        <n v="169"/>
        <n v="11"/>
        <n v="54"/>
        <n v="76"/>
        <n v="58"/>
        <n v="360"/>
        <n v="90"/>
        <n v="262"/>
        <n v="170"/>
        <n v="164"/>
        <n v="125"/>
        <n v="22"/>
        <n v="106"/>
        <n v="593"/>
        <n v="101"/>
        <n v="438"/>
        <n v="261"/>
        <n v="208"/>
        <n v="181"/>
        <n v="387"/>
        <n v="83"/>
        <n v="85"/>
        <n v="219"/>
        <n v="55"/>
        <n v="173"/>
        <n v="178"/>
        <n v="163"/>
        <n v="159"/>
        <n v="315"/>
        <n v="63"/>
        <n v="131"/>
        <n v="126"/>
        <n v="112"/>
        <n v="508"/>
        <n v="289"/>
        <n v="72"/>
        <n v="2"/>
        <n v="187"/>
        <n v="69"/>
        <n v="153"/>
        <n v="65"/>
        <n v="4"/>
        <n v="3"/>
        <n v="1"/>
        <n v="273"/>
        <n v="56"/>
        <n v="179"/>
        <n v="30"/>
        <n v="142"/>
        <n v="123"/>
        <n v="118"/>
        <n v="132"/>
        <n v="109"/>
        <n v="17"/>
        <n v="39"/>
        <n v="233"/>
        <n v="161"/>
        <n v="9"/>
        <n v="189"/>
        <n v="29"/>
        <n v="64"/>
        <n v="19"/>
        <n v="200"/>
        <n v="134"/>
        <n v="234"/>
        <n v="120"/>
        <n v="97"/>
        <n v="44"/>
        <n v="0"/>
      </sharedItems>
    </cacheField>
    <cacheField name="構成比（法人）" numFmtId="0" sqlType="3">
      <sharedItems containsSemiMixedTypes="0" containsString="0" containsNumber="1" minValue="0" maxValue="33.33" count="416">
        <n v="6.17"/>
        <n v="1.83"/>
        <n v="1.1599999999999999"/>
        <n v="0.93"/>
        <n v="3.68"/>
        <n v="3.02"/>
        <n v="0.78"/>
        <n v="1.47"/>
        <n v="1.0900000000000001"/>
        <n v="2.64"/>
        <n v="0.51"/>
        <n v="0.28000000000000003"/>
        <n v="2.42"/>
        <n v="0.14000000000000001"/>
        <n v="1.8"/>
        <n v="2"/>
        <n v="1.04"/>
        <n v="2.0299999999999998"/>
        <n v="2.0099999999999998"/>
        <n v="0.23"/>
        <n v="6.15"/>
        <n v="1.99"/>
        <n v="1.1000000000000001"/>
        <n v="1"/>
        <n v="3.1"/>
        <n v="3.6"/>
        <n v="2.68"/>
        <n v="1.45"/>
        <n v="2.56"/>
        <n v="0.55000000000000004"/>
        <n v="1.03"/>
        <n v="0.16"/>
        <n v="2.15"/>
        <n v="2.17"/>
        <n v="0.25"/>
        <n v="1.76"/>
        <n v="2.08"/>
        <n v="1.85"/>
        <n v="4.96"/>
        <n v="0.4"/>
        <n v="0.46"/>
        <n v="4.24"/>
        <n v="4.01"/>
        <n v="3.73"/>
        <n v="3.32"/>
        <n v="1.87"/>
        <n v="2.5499999999999998"/>
        <n v="1.28"/>
        <n v="2.2599999999999998"/>
        <n v="2.06"/>
        <n v="1.94"/>
        <n v="1.78"/>
        <n v="1.4"/>
        <n v="1.37"/>
        <n v="4.34"/>
        <n v="2.97"/>
        <n v="0.44"/>
        <n v="0.18"/>
        <n v="3.29"/>
        <n v="3"/>
        <n v="2.13"/>
        <n v="2.4700000000000002"/>
        <n v="2.34"/>
        <n v="2.31"/>
        <n v="2.2400000000000002"/>
        <n v="0.39"/>
        <n v="1.7"/>
        <n v="1.53"/>
        <n v="5.18"/>
        <n v="4.53"/>
        <n v="3.11"/>
        <n v="4.59"/>
        <n v="4.57"/>
        <n v="0.28999999999999998"/>
        <n v="3.88"/>
        <n v="3.03"/>
        <n v="2.96"/>
        <n v="0.97"/>
        <n v="1.42"/>
        <n v="0.91"/>
        <n v="1.62"/>
        <n v="0.33"/>
        <n v="1.54"/>
        <n v="1.72"/>
        <n v="0.66"/>
        <n v="5.94"/>
        <n v="2.94"/>
        <n v="1.1100000000000001"/>
        <n v="4.03"/>
        <n v="0.35"/>
        <n v="3.86"/>
        <n v="3.87"/>
        <n v="2.75"/>
        <n v="3.15"/>
        <n v="2.87"/>
        <n v="0.74"/>
        <n v="2.4900000000000002"/>
        <n v="2.3199999999999998"/>
        <n v="0.84"/>
        <n v="1.34"/>
        <n v="1.06"/>
        <n v="1.93"/>
        <n v="1.55"/>
        <n v="8.56"/>
        <n v="2.11"/>
        <n v="3.51"/>
        <n v="4.13"/>
        <n v="3.8"/>
        <n v="3.67"/>
        <n v="2.69"/>
        <n v="1.46"/>
        <n v="0.62"/>
        <n v="0.68"/>
        <n v="0.2"/>
        <n v="4.76"/>
        <n v="6.97"/>
        <n v="2.1800000000000002"/>
        <n v="2.29"/>
        <n v="0.9"/>
        <n v="2.81"/>
        <n v="2.25"/>
        <n v="0.42"/>
        <n v="0.09"/>
        <n v="2.27"/>
        <n v="1.1200000000000001"/>
        <n v="1.44"/>
        <n v="0.36"/>
        <n v="5.3"/>
        <n v="1.57"/>
        <n v="0.83"/>
        <n v="0.89"/>
        <n v="1.89"/>
        <n v="1.75"/>
        <n v="2.46"/>
        <n v="1.01"/>
        <n v="1.84"/>
        <n v="0.41"/>
        <n v="1.58"/>
        <n v="5.2"/>
        <n v="1.74"/>
        <n v="3.18"/>
        <n v="0.73"/>
        <n v="0.34"/>
        <n v="2.37"/>
        <n v="1.19"/>
        <n v="1.2"/>
        <n v="1.9"/>
        <n v="1.98"/>
        <n v="1.65"/>
        <n v="1.07"/>
        <n v="1.67"/>
        <n v="1.51"/>
        <n v="7.18"/>
        <n v="2.14"/>
        <n v="0.99"/>
        <n v="3.57"/>
        <n v="2.4"/>
        <n v="0.52"/>
        <n v="2.58"/>
        <n v="2.2999999999999998"/>
        <n v="0.19"/>
        <n v="0.92"/>
        <n v="1.17"/>
        <n v="1.56"/>
        <n v="8.77"/>
        <n v="2.72"/>
        <n v="4.7"/>
        <n v="3.43"/>
        <n v="2.85"/>
        <n v="2.7"/>
        <n v="1.59"/>
        <n v="0.6"/>
        <n v="2.19"/>
        <n v="2.41"/>
        <n v="0.49"/>
        <n v="1.1399999999999999"/>
        <n v="1.71"/>
        <n v="1.32"/>
        <n v="7.03"/>
        <n v="1.82"/>
        <n v="1.05"/>
        <n v="3.65"/>
        <n v="0.24"/>
        <n v="0.22"/>
        <n v="1.96"/>
        <n v="1.29"/>
        <n v="1.92"/>
        <n v="8.69"/>
        <n v="1.64"/>
        <n v="5.05"/>
        <n v="1.1299999999999999"/>
        <n v="1.88"/>
        <n v="3.13"/>
        <n v="0.79"/>
        <n v="2.6"/>
        <n v="2.2000000000000002"/>
        <n v="0.26"/>
        <n v="2.1"/>
        <n v="4.92"/>
        <n v="2.4300000000000002"/>
        <n v="3.71"/>
        <n v="3.14"/>
        <n v="3.52"/>
        <n v="3.27"/>
        <n v="3.09"/>
        <n v="2.8"/>
        <n v="2.79"/>
        <n v="2.57"/>
        <n v="0.77"/>
        <n v="0.72"/>
        <n v="10.19"/>
        <n v="6.22"/>
        <n v="1.08"/>
        <n v="1.49"/>
        <n v="3.07"/>
        <n v="0.32"/>
        <n v="2.61"/>
        <n v="2.16"/>
        <n v="10.5"/>
        <n v="5.65"/>
        <n v="0.88"/>
        <n v="0.95"/>
        <n v="0.61"/>
        <n v="3.26"/>
        <n v="3.34"/>
        <n v="1.66"/>
        <n v="3.63"/>
        <n v="3.74"/>
        <n v="3.23"/>
        <n v="2.5099999999999998"/>
        <n v="2.65"/>
        <n v="2.63"/>
        <n v="0.21"/>
        <n v="7.5"/>
        <n v="0.98"/>
        <n v="4.1399999999999997"/>
        <n v="1.1499999999999999"/>
        <n v="0.27"/>
        <n v="2.33"/>
        <n v="1.52"/>
        <n v="1.86"/>
        <n v="0.59"/>
        <n v="4.47"/>
        <n v="1.22"/>
        <n v="3.44"/>
        <n v="0.67"/>
        <n v="1.48"/>
        <n v="5.67"/>
        <n v="2.52"/>
        <n v="1.97"/>
        <n v="1.91"/>
        <n v="7.49"/>
        <n v="5.54"/>
        <n v="0.86"/>
        <n v="3.3"/>
        <n v="0.54"/>
        <n v="2.62"/>
        <n v="2.5"/>
        <n v="1.39"/>
        <n v="2.2799999999999998"/>
        <n v="1.02"/>
        <n v="0.57999999999999996"/>
        <n v="7.0000000000000007E-2"/>
        <n v="0.7"/>
        <n v="2.39"/>
        <n v="1.95"/>
        <n v="0.56999999999999995"/>
        <n v="5.5"/>
        <n v="3.21"/>
        <n v="0.82"/>
        <n v="2.2200000000000002"/>
        <n v="6.54"/>
        <n v="3.72"/>
        <n v="0.03"/>
        <n v="1.81"/>
        <n v="14.15"/>
        <n v="6.6"/>
        <n v="3.77"/>
        <n v="7.55"/>
        <n v="2.83"/>
        <n v="0.94"/>
        <n v="4.6399999999999997"/>
        <n v="2.77"/>
        <n v="3.04"/>
        <n v="1.21"/>
        <n v="2.09"/>
        <n v="2.21"/>
        <n v="1.31"/>
        <n v="4.91"/>
        <n v="1.25"/>
        <n v="4.54"/>
        <n v="0.71"/>
        <n v="9.02"/>
        <n v="6.23"/>
        <n v="2.44"/>
        <n v="0.43"/>
        <n v="0.85"/>
        <n v="0.5"/>
        <n v="8.42"/>
        <n v="0.69"/>
        <n v="0.75"/>
        <n v="2.88"/>
        <n v="2.48"/>
        <n v="1.61"/>
        <n v="0.17"/>
        <n v="4.49"/>
        <n v="4.1500000000000004"/>
        <n v="1.41"/>
        <n v="2.66"/>
        <n v="1.33"/>
        <n v="7.34"/>
        <n v="4.46"/>
        <n v="0.47"/>
        <n v="1.36"/>
        <n v="2.99"/>
        <n v="2.91"/>
        <n v="2.4500000000000002"/>
        <n v="2.02"/>
        <n v="5.53"/>
        <n v="0.38"/>
        <n v="0.1"/>
        <n v="3.05"/>
        <n v="1.24"/>
        <n v="8.25"/>
        <n v="1.69"/>
        <n v="1.77"/>
        <n v="1.73"/>
        <n v="5.69"/>
        <n v="3.89"/>
        <n v="2.92"/>
        <n v="2.5299999999999998"/>
        <n v="2.36"/>
        <n v="10.68"/>
        <n v="4.8"/>
        <n v="3.82"/>
        <n v="2.35"/>
        <n v="1.18"/>
        <n v="0.48"/>
        <n v="5.4"/>
        <n v="2.84"/>
        <n v="0"/>
        <n v="6.37"/>
        <n v="0.81"/>
        <n v="2.67"/>
        <n v="0.3"/>
        <n v="2.74"/>
        <n v="5.49"/>
        <n v="3.24"/>
        <n v="8.75"/>
        <n v="4.75"/>
        <n v="3.25"/>
        <n v="3.17"/>
        <n v="8.64"/>
        <n v="6.25"/>
        <n v="0.45"/>
        <n v="2.73"/>
        <n v="6.02"/>
        <n v="4.7699999999999996"/>
        <n v="2.9"/>
        <n v="2.0699999999999998"/>
        <n v="8.27"/>
        <n v="5.83"/>
        <n v="3.12"/>
        <n v="1.63"/>
        <n v="2.71"/>
        <n v="4.2699999999999996"/>
        <n v="3.79"/>
        <n v="3.2"/>
        <n v="5.95"/>
        <n v="4.68"/>
        <n v="1.26"/>
        <n v="3.06"/>
        <n v="5.6"/>
        <n v="0.63"/>
        <n v="3.97"/>
        <n v="3.16"/>
        <n v="2.98"/>
        <n v="0.12"/>
        <n v="5.91"/>
        <n v="3.45"/>
        <n v="3.69"/>
        <n v="3.53"/>
        <n v="1.23"/>
        <n v="2.0499999999999998"/>
        <n v="5.63"/>
        <n v="0.13"/>
        <n v="5.62"/>
        <n v="4.26"/>
        <n v="0.15"/>
        <n v="4.55"/>
        <n v="7.35"/>
        <n v="0.8"/>
        <n v="0.56000000000000005"/>
        <n v="4.08"/>
        <n v="1.79"/>
        <n v="2.04"/>
        <n v="5.15"/>
        <n v="8.57"/>
        <n v="14.29"/>
        <n v="5.71"/>
        <n v="2.86"/>
        <n v="11.32"/>
        <n v="6.82"/>
        <n v="9.85"/>
        <n v="0.76"/>
        <n v="25"/>
        <n v="4.17"/>
        <n v="8.33"/>
        <n v="13.33"/>
        <n v="6.67"/>
        <n v="5.13"/>
        <n v="7.69"/>
        <n v="33.33"/>
        <n v="20"/>
        <n v="4.62"/>
        <n v="3.08"/>
      </sharedItems>
    </cacheField>
    <cacheField name="総数（法人以外の団体）" numFmtId="0" sqlType="4">
      <sharedItems containsSemiMixedTypes="0" containsString="0" containsNumber="1" containsInteger="1" minValue="0" maxValue="78" count="17">
        <n v="4"/>
        <n v="3"/>
        <n v="0"/>
        <n v="1"/>
        <n v="29"/>
        <n v="2"/>
        <n v="26"/>
        <n v="19"/>
        <n v="7"/>
        <n v="78"/>
        <n v="5"/>
        <n v="27"/>
        <n v="17"/>
        <n v="22"/>
        <n v="62"/>
        <n v="6"/>
        <n v="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x v="0"/>
    <s v="東京都"/>
    <x v="0"/>
    <x v="0"/>
    <n v="21"/>
    <n v="0.01"/>
    <n v="0"/>
    <n v="0"/>
    <n v="21"/>
    <n v="0.01"/>
    <x v="0"/>
  </r>
  <r>
    <x v="0"/>
    <s v="東京都"/>
    <x v="0"/>
    <x v="1"/>
    <n v="31817"/>
    <n v="9.3699999999999992"/>
    <n v="4309"/>
    <n v="3.73"/>
    <n v="27502"/>
    <n v="12.32"/>
    <x v="1"/>
  </r>
  <r>
    <x v="0"/>
    <s v="東京都"/>
    <x v="0"/>
    <x v="2"/>
    <n v="29567"/>
    <n v="8.7100000000000009"/>
    <n v="6337"/>
    <n v="5.49"/>
    <n v="23225"/>
    <n v="10.4"/>
    <x v="2"/>
  </r>
  <r>
    <x v="0"/>
    <s v="東京都"/>
    <x v="0"/>
    <x v="3"/>
    <n v="388"/>
    <n v="0.11"/>
    <n v="1"/>
    <n v="0"/>
    <n v="371"/>
    <n v="0.17"/>
    <x v="3"/>
  </r>
  <r>
    <x v="0"/>
    <s v="東京都"/>
    <x v="0"/>
    <x v="4"/>
    <n v="12231"/>
    <n v="3.6"/>
    <n v="321"/>
    <n v="0.28000000000000003"/>
    <n v="11890"/>
    <n v="5.33"/>
    <x v="4"/>
  </r>
  <r>
    <x v="0"/>
    <s v="東京都"/>
    <x v="0"/>
    <x v="5"/>
    <n v="4597"/>
    <n v="1.35"/>
    <n v="1750"/>
    <n v="1.52"/>
    <n v="2840"/>
    <n v="1.27"/>
    <x v="5"/>
  </r>
  <r>
    <x v="0"/>
    <s v="東京都"/>
    <x v="0"/>
    <x v="6"/>
    <n v="68841"/>
    <n v="20.27"/>
    <n v="18596"/>
    <n v="16.100000000000001"/>
    <n v="50212"/>
    <n v="22.49"/>
    <x v="6"/>
  </r>
  <r>
    <x v="0"/>
    <s v="東京都"/>
    <x v="0"/>
    <x v="7"/>
    <n v="2029"/>
    <n v="0.6"/>
    <n v="122"/>
    <n v="0.11"/>
    <n v="1905"/>
    <n v="0.85"/>
    <x v="3"/>
  </r>
  <r>
    <x v="0"/>
    <s v="東京都"/>
    <x v="0"/>
    <x v="8"/>
    <n v="50099"/>
    <n v="14.75"/>
    <n v="11592"/>
    <n v="10.039999999999999"/>
    <n v="38456"/>
    <n v="17.22"/>
    <x v="7"/>
  </r>
  <r>
    <x v="0"/>
    <s v="東京都"/>
    <x v="0"/>
    <x v="9"/>
    <n v="33583"/>
    <n v="9.89"/>
    <n v="12402"/>
    <n v="10.74"/>
    <n v="21079"/>
    <n v="9.44"/>
    <x v="8"/>
  </r>
  <r>
    <x v="0"/>
    <s v="東京都"/>
    <x v="0"/>
    <x v="10"/>
    <n v="38353"/>
    <n v="11.29"/>
    <n v="25336"/>
    <n v="21.93"/>
    <n v="12990"/>
    <n v="5.82"/>
    <x v="9"/>
  </r>
  <r>
    <x v="0"/>
    <s v="東京都"/>
    <x v="0"/>
    <x v="11"/>
    <n v="30238"/>
    <n v="8.9"/>
    <n v="17933"/>
    <n v="15.53"/>
    <n v="12252"/>
    <n v="5.49"/>
    <x v="10"/>
  </r>
  <r>
    <x v="0"/>
    <s v="東京都"/>
    <x v="0"/>
    <x v="12"/>
    <n v="9900"/>
    <n v="2.91"/>
    <n v="5279"/>
    <n v="4.57"/>
    <n v="4471"/>
    <n v="2"/>
    <x v="7"/>
  </r>
  <r>
    <x v="0"/>
    <s v="東京都"/>
    <x v="0"/>
    <x v="13"/>
    <n v="15848"/>
    <n v="4.67"/>
    <n v="10059"/>
    <n v="8.7100000000000009"/>
    <n v="5590"/>
    <n v="2.5"/>
    <x v="11"/>
  </r>
  <r>
    <x v="0"/>
    <s v="東京都"/>
    <x v="0"/>
    <x v="14"/>
    <n v="12140"/>
    <n v="3.57"/>
    <n v="1472"/>
    <n v="1.27"/>
    <n v="10471"/>
    <n v="4.6900000000000004"/>
    <x v="12"/>
  </r>
  <r>
    <x v="0"/>
    <s v="特別区部"/>
    <x v="1"/>
    <x v="0"/>
    <n v="17"/>
    <n v="0.01"/>
    <n v="0"/>
    <n v="0"/>
    <n v="17"/>
    <n v="0.01"/>
    <x v="0"/>
  </r>
  <r>
    <x v="0"/>
    <s v="特別区部"/>
    <x v="1"/>
    <x v="1"/>
    <n v="21855"/>
    <n v="8.1199999999999992"/>
    <n v="2423"/>
    <n v="2.78"/>
    <n v="19429"/>
    <n v="10.7"/>
    <x v="5"/>
  </r>
  <r>
    <x v="0"/>
    <s v="特別区部"/>
    <x v="1"/>
    <x v="2"/>
    <n v="25098"/>
    <n v="9.33"/>
    <n v="5380"/>
    <n v="6.18"/>
    <n v="19714"/>
    <n v="10.86"/>
    <x v="13"/>
  </r>
  <r>
    <x v="0"/>
    <s v="特別区部"/>
    <x v="1"/>
    <x v="3"/>
    <n v="330"/>
    <n v="0.12"/>
    <n v="1"/>
    <n v="0"/>
    <n v="325"/>
    <n v="0.18"/>
    <x v="3"/>
  </r>
  <r>
    <x v="0"/>
    <s v="特別区部"/>
    <x v="1"/>
    <x v="4"/>
    <n v="10568"/>
    <n v="3.93"/>
    <n v="242"/>
    <n v="0.28000000000000003"/>
    <n v="10308"/>
    <n v="5.68"/>
    <x v="14"/>
  </r>
  <r>
    <x v="0"/>
    <s v="特別区部"/>
    <x v="1"/>
    <x v="5"/>
    <n v="3974"/>
    <n v="1.48"/>
    <n v="1567"/>
    <n v="1.8"/>
    <n v="2401"/>
    <n v="1.32"/>
    <x v="5"/>
  </r>
  <r>
    <x v="0"/>
    <s v="特別区部"/>
    <x v="1"/>
    <x v="6"/>
    <n v="55370"/>
    <n v="20.57"/>
    <n v="13807"/>
    <n v="15.85"/>
    <n v="41543"/>
    <n v="22.89"/>
    <x v="4"/>
  </r>
  <r>
    <x v="0"/>
    <s v="特別区部"/>
    <x v="1"/>
    <x v="7"/>
    <n v="1560"/>
    <n v="0.57999999999999996"/>
    <n v="62"/>
    <n v="7.0000000000000007E-2"/>
    <n v="1496"/>
    <n v="0.82"/>
    <x v="3"/>
  </r>
  <r>
    <x v="0"/>
    <s v="特別区部"/>
    <x v="1"/>
    <x v="8"/>
    <n v="40424"/>
    <n v="15.02"/>
    <n v="9122"/>
    <n v="10.47"/>
    <n v="31261"/>
    <n v="17.22"/>
    <x v="15"/>
  </r>
  <r>
    <x v="0"/>
    <s v="特別区部"/>
    <x v="1"/>
    <x v="9"/>
    <n v="28550"/>
    <n v="10.61"/>
    <n v="10440"/>
    <n v="11.99"/>
    <n v="18030"/>
    <n v="9.93"/>
    <x v="16"/>
  </r>
  <r>
    <x v="0"/>
    <s v="特別区部"/>
    <x v="1"/>
    <x v="10"/>
    <n v="30643"/>
    <n v="11.39"/>
    <n v="19585"/>
    <n v="22.49"/>
    <n v="11041"/>
    <n v="6.08"/>
    <x v="17"/>
  </r>
  <r>
    <x v="0"/>
    <s v="特別区部"/>
    <x v="1"/>
    <x v="11"/>
    <n v="22421"/>
    <n v="8.33"/>
    <n v="12649"/>
    <n v="14.52"/>
    <n v="9746"/>
    <n v="5.37"/>
    <x v="18"/>
  </r>
  <r>
    <x v="0"/>
    <s v="特別区部"/>
    <x v="1"/>
    <x v="12"/>
    <n v="6832"/>
    <n v="2.54"/>
    <n v="3313"/>
    <n v="3.8"/>
    <n v="3442"/>
    <n v="1.9"/>
    <x v="15"/>
  </r>
  <r>
    <x v="0"/>
    <s v="特別区部"/>
    <x v="1"/>
    <x v="13"/>
    <n v="11743"/>
    <n v="4.3600000000000003"/>
    <n v="7548"/>
    <n v="8.67"/>
    <n v="4082"/>
    <n v="2.25"/>
    <x v="19"/>
  </r>
  <r>
    <x v="0"/>
    <s v="特別区部"/>
    <x v="1"/>
    <x v="14"/>
    <n v="9755"/>
    <n v="3.62"/>
    <n v="949"/>
    <n v="1.0900000000000001"/>
    <n v="8682"/>
    <n v="4.78"/>
    <x v="20"/>
  </r>
  <r>
    <x v="0"/>
    <s v="千代田区"/>
    <x v="2"/>
    <x v="0"/>
    <n v="1"/>
    <n v="0.01"/>
    <n v="0"/>
    <n v="0"/>
    <n v="1"/>
    <n v="0.01"/>
    <x v="0"/>
  </r>
  <r>
    <x v="0"/>
    <s v="千代田区"/>
    <x v="2"/>
    <x v="1"/>
    <n v="491"/>
    <n v="3.63"/>
    <n v="4"/>
    <n v="0.15"/>
    <n v="486"/>
    <n v="4.5"/>
    <x v="21"/>
  </r>
  <r>
    <x v="0"/>
    <s v="千代田区"/>
    <x v="2"/>
    <x v="2"/>
    <n v="731"/>
    <n v="5.4"/>
    <n v="28"/>
    <n v="1.04"/>
    <n v="702"/>
    <n v="6.5"/>
    <x v="21"/>
  </r>
  <r>
    <x v="0"/>
    <s v="千代田区"/>
    <x v="2"/>
    <x v="3"/>
    <n v="64"/>
    <n v="0.47"/>
    <n v="0"/>
    <n v="0"/>
    <n v="63"/>
    <n v="0.57999999999999996"/>
    <x v="21"/>
  </r>
  <r>
    <x v="0"/>
    <s v="千代田区"/>
    <x v="2"/>
    <x v="4"/>
    <n v="1124"/>
    <n v="8.31"/>
    <n v="22"/>
    <n v="0.82"/>
    <n v="1097"/>
    <n v="10.16"/>
    <x v="2"/>
  </r>
  <r>
    <x v="0"/>
    <s v="千代田区"/>
    <x v="2"/>
    <x v="5"/>
    <n v="178"/>
    <n v="1.32"/>
    <n v="0"/>
    <n v="0"/>
    <n v="178"/>
    <n v="1.65"/>
    <x v="0"/>
  </r>
  <r>
    <x v="0"/>
    <s v="千代田区"/>
    <x v="2"/>
    <x v="6"/>
    <n v="2938"/>
    <n v="21.71"/>
    <n v="212"/>
    <n v="7.89"/>
    <n v="2724"/>
    <n v="25.23"/>
    <x v="3"/>
  </r>
  <r>
    <x v="0"/>
    <s v="千代田区"/>
    <x v="2"/>
    <x v="7"/>
    <n v="202"/>
    <n v="1.49"/>
    <n v="4"/>
    <n v="0.15"/>
    <n v="197"/>
    <n v="1.82"/>
    <x v="21"/>
  </r>
  <r>
    <x v="0"/>
    <s v="千代田区"/>
    <x v="2"/>
    <x v="8"/>
    <n v="1861"/>
    <n v="13.75"/>
    <n v="200"/>
    <n v="7.44"/>
    <n v="1659"/>
    <n v="15.36"/>
    <x v="3"/>
  </r>
  <r>
    <x v="0"/>
    <s v="千代田区"/>
    <x v="2"/>
    <x v="9"/>
    <n v="3134"/>
    <n v="23.16"/>
    <n v="1466"/>
    <n v="54.56"/>
    <n v="1659"/>
    <n v="15.36"/>
    <x v="17"/>
  </r>
  <r>
    <x v="0"/>
    <s v="千代田区"/>
    <x v="2"/>
    <x v="10"/>
    <n v="1038"/>
    <n v="7.67"/>
    <n v="411"/>
    <n v="15.3"/>
    <n v="625"/>
    <n v="5.79"/>
    <x v="21"/>
  </r>
  <r>
    <x v="0"/>
    <s v="千代田区"/>
    <x v="2"/>
    <x v="11"/>
    <n v="436"/>
    <n v="3.22"/>
    <n v="103"/>
    <n v="3.83"/>
    <n v="329"/>
    <n v="3.05"/>
    <x v="21"/>
  </r>
  <r>
    <x v="0"/>
    <s v="千代田区"/>
    <x v="2"/>
    <x v="12"/>
    <n v="250"/>
    <n v="1.85"/>
    <n v="33"/>
    <n v="1.23"/>
    <n v="207"/>
    <n v="1.92"/>
    <x v="13"/>
  </r>
  <r>
    <x v="0"/>
    <s v="千代田区"/>
    <x v="2"/>
    <x v="13"/>
    <n v="353"/>
    <n v="2.61"/>
    <n v="187"/>
    <n v="6.96"/>
    <n v="165"/>
    <n v="1.53"/>
    <x v="0"/>
  </r>
  <r>
    <x v="0"/>
    <s v="千代田区"/>
    <x v="2"/>
    <x v="14"/>
    <n v="733"/>
    <n v="5.42"/>
    <n v="17"/>
    <n v="0.63"/>
    <n v="706"/>
    <n v="6.54"/>
    <x v="22"/>
  </r>
  <r>
    <x v="0"/>
    <s v="中央区"/>
    <x v="3"/>
    <x v="0"/>
    <n v="0"/>
    <n v="0"/>
    <n v="0"/>
    <n v="0"/>
    <n v="0"/>
    <n v="0"/>
    <x v="0"/>
  </r>
  <r>
    <x v="0"/>
    <s v="中央区"/>
    <x v="3"/>
    <x v="1"/>
    <n v="534"/>
    <n v="3.65"/>
    <n v="12"/>
    <n v="0.37"/>
    <n v="522"/>
    <n v="4.58"/>
    <x v="0"/>
  </r>
  <r>
    <x v="0"/>
    <s v="中央区"/>
    <x v="3"/>
    <x v="2"/>
    <n v="851"/>
    <n v="5.82"/>
    <n v="44"/>
    <n v="1.37"/>
    <n v="807"/>
    <n v="7.08"/>
    <x v="0"/>
  </r>
  <r>
    <x v="0"/>
    <s v="中央区"/>
    <x v="3"/>
    <x v="3"/>
    <n v="25"/>
    <n v="0.17"/>
    <n v="0"/>
    <n v="0"/>
    <n v="25"/>
    <n v="0.22"/>
    <x v="0"/>
  </r>
  <r>
    <x v="0"/>
    <s v="中央区"/>
    <x v="3"/>
    <x v="4"/>
    <n v="718"/>
    <n v="4.91"/>
    <n v="8"/>
    <n v="0.25"/>
    <n v="706"/>
    <n v="6.2"/>
    <x v="13"/>
  </r>
  <r>
    <x v="0"/>
    <s v="中央区"/>
    <x v="3"/>
    <x v="5"/>
    <n v="230"/>
    <n v="1.57"/>
    <n v="2"/>
    <n v="0.06"/>
    <n v="226"/>
    <n v="1.98"/>
    <x v="3"/>
  </r>
  <r>
    <x v="0"/>
    <s v="中央区"/>
    <x v="3"/>
    <x v="6"/>
    <n v="3650"/>
    <n v="24.96"/>
    <n v="321"/>
    <n v="10.02"/>
    <n v="3326"/>
    <n v="29.19"/>
    <x v="5"/>
  </r>
  <r>
    <x v="0"/>
    <s v="中央区"/>
    <x v="3"/>
    <x v="7"/>
    <n v="158"/>
    <n v="1.08"/>
    <n v="2"/>
    <n v="0.06"/>
    <n v="156"/>
    <n v="1.37"/>
    <x v="0"/>
  </r>
  <r>
    <x v="0"/>
    <s v="中央区"/>
    <x v="3"/>
    <x v="8"/>
    <n v="1756"/>
    <n v="12.01"/>
    <n v="151"/>
    <n v="4.72"/>
    <n v="1604"/>
    <n v="14.08"/>
    <x v="21"/>
  </r>
  <r>
    <x v="0"/>
    <s v="中央区"/>
    <x v="3"/>
    <x v="9"/>
    <n v="2622"/>
    <n v="17.93"/>
    <n v="1158"/>
    <n v="36.159999999999997"/>
    <n v="1455"/>
    <n v="12.77"/>
    <x v="23"/>
  </r>
  <r>
    <x v="0"/>
    <s v="中央区"/>
    <x v="3"/>
    <x v="10"/>
    <n v="1961"/>
    <n v="13.41"/>
    <n v="897"/>
    <n v="28.01"/>
    <n v="1064"/>
    <n v="9.34"/>
    <x v="0"/>
  </r>
  <r>
    <x v="0"/>
    <s v="中央区"/>
    <x v="3"/>
    <x v="11"/>
    <n v="692"/>
    <n v="4.7300000000000004"/>
    <n v="223"/>
    <n v="6.96"/>
    <n v="468"/>
    <n v="4.1100000000000003"/>
    <x v="21"/>
  </r>
  <r>
    <x v="0"/>
    <s v="中央区"/>
    <x v="3"/>
    <x v="12"/>
    <n v="262"/>
    <n v="1.79"/>
    <n v="73"/>
    <n v="2.2799999999999998"/>
    <n v="188"/>
    <n v="1.65"/>
    <x v="21"/>
  </r>
  <r>
    <x v="0"/>
    <s v="中央区"/>
    <x v="3"/>
    <x v="13"/>
    <n v="475"/>
    <n v="3.25"/>
    <n v="285"/>
    <n v="8.9"/>
    <n v="189"/>
    <n v="1.66"/>
    <x v="0"/>
  </r>
  <r>
    <x v="0"/>
    <s v="中央区"/>
    <x v="3"/>
    <x v="14"/>
    <n v="691"/>
    <n v="4.72"/>
    <n v="26"/>
    <n v="0.81"/>
    <n v="658"/>
    <n v="5.77"/>
    <x v="2"/>
  </r>
  <r>
    <x v="0"/>
    <s v="港区"/>
    <x v="4"/>
    <x v="0"/>
    <n v="9"/>
    <n v="0.05"/>
    <n v="0"/>
    <n v="0"/>
    <n v="9"/>
    <n v="0.06"/>
    <x v="0"/>
  </r>
  <r>
    <x v="0"/>
    <s v="港区"/>
    <x v="4"/>
    <x v="1"/>
    <n v="552"/>
    <n v="3.15"/>
    <n v="10"/>
    <n v="0.31"/>
    <n v="542"/>
    <n v="3.8"/>
    <x v="0"/>
  </r>
  <r>
    <x v="0"/>
    <s v="港区"/>
    <x v="4"/>
    <x v="2"/>
    <n v="710"/>
    <n v="4.05"/>
    <n v="43"/>
    <n v="1.32"/>
    <n v="666"/>
    <n v="4.67"/>
    <x v="21"/>
  </r>
  <r>
    <x v="0"/>
    <s v="港区"/>
    <x v="4"/>
    <x v="3"/>
    <n v="92"/>
    <n v="0.52"/>
    <n v="0"/>
    <n v="0"/>
    <n v="92"/>
    <n v="0.65"/>
    <x v="0"/>
  </r>
  <r>
    <x v="0"/>
    <s v="港区"/>
    <x v="4"/>
    <x v="4"/>
    <n v="1222"/>
    <n v="6.97"/>
    <n v="18"/>
    <n v="0.55000000000000004"/>
    <n v="1202"/>
    <n v="8.44"/>
    <x v="3"/>
  </r>
  <r>
    <x v="0"/>
    <s v="港区"/>
    <x v="4"/>
    <x v="5"/>
    <n v="262"/>
    <n v="1.49"/>
    <n v="5"/>
    <n v="0.15"/>
    <n v="256"/>
    <n v="1.8"/>
    <x v="0"/>
  </r>
  <r>
    <x v="0"/>
    <s v="港区"/>
    <x v="4"/>
    <x v="6"/>
    <n v="3102"/>
    <n v="17.690000000000001"/>
    <n v="260"/>
    <n v="8.01"/>
    <n v="2840"/>
    <n v="19.93"/>
    <x v="3"/>
  </r>
  <r>
    <x v="0"/>
    <s v="港区"/>
    <x v="4"/>
    <x v="7"/>
    <n v="162"/>
    <n v="0.92"/>
    <n v="0"/>
    <n v="0"/>
    <n v="162"/>
    <n v="1.1399999999999999"/>
    <x v="0"/>
  </r>
  <r>
    <x v="0"/>
    <s v="港区"/>
    <x v="4"/>
    <x v="8"/>
    <n v="2670"/>
    <n v="15.22"/>
    <n v="140"/>
    <n v="4.3099999999999996"/>
    <n v="2529"/>
    <n v="17.75"/>
    <x v="21"/>
  </r>
  <r>
    <x v="0"/>
    <s v="港区"/>
    <x v="4"/>
    <x v="9"/>
    <n v="3519"/>
    <n v="20.07"/>
    <n v="1159"/>
    <n v="35.69"/>
    <n v="2346"/>
    <n v="16.46"/>
    <x v="9"/>
  </r>
  <r>
    <x v="0"/>
    <s v="港区"/>
    <x v="4"/>
    <x v="10"/>
    <n v="2037"/>
    <n v="11.61"/>
    <n v="842"/>
    <n v="25.93"/>
    <n v="1195"/>
    <n v="8.39"/>
    <x v="0"/>
  </r>
  <r>
    <x v="0"/>
    <s v="港区"/>
    <x v="4"/>
    <x v="11"/>
    <n v="1178"/>
    <n v="6.72"/>
    <n v="304"/>
    <n v="9.36"/>
    <n v="873"/>
    <n v="6.13"/>
    <x v="21"/>
  </r>
  <r>
    <x v="0"/>
    <s v="港区"/>
    <x v="4"/>
    <x v="12"/>
    <n v="355"/>
    <n v="2.02"/>
    <n v="70"/>
    <n v="2.16"/>
    <n v="282"/>
    <n v="1.98"/>
    <x v="5"/>
  </r>
  <r>
    <x v="0"/>
    <s v="港区"/>
    <x v="4"/>
    <x v="13"/>
    <n v="612"/>
    <n v="3.49"/>
    <n v="362"/>
    <n v="11.15"/>
    <n v="249"/>
    <n v="1.75"/>
    <x v="21"/>
  </r>
  <r>
    <x v="0"/>
    <s v="港区"/>
    <x v="4"/>
    <x v="14"/>
    <n v="1056"/>
    <n v="6.02"/>
    <n v="34"/>
    <n v="1.05"/>
    <n v="1006"/>
    <n v="7.06"/>
    <x v="24"/>
  </r>
  <r>
    <x v="0"/>
    <s v="新宿区"/>
    <x v="5"/>
    <x v="0"/>
    <n v="2"/>
    <n v="0.01"/>
    <n v="0"/>
    <n v="0"/>
    <n v="2"/>
    <n v="0.02"/>
    <x v="0"/>
  </r>
  <r>
    <x v="0"/>
    <s v="新宿区"/>
    <x v="5"/>
    <x v="1"/>
    <n v="743"/>
    <n v="4.74"/>
    <n v="39"/>
    <n v="0.84"/>
    <n v="704"/>
    <n v="6.4"/>
    <x v="0"/>
  </r>
  <r>
    <x v="0"/>
    <s v="新宿区"/>
    <x v="5"/>
    <x v="2"/>
    <n v="793"/>
    <n v="5.05"/>
    <n v="87"/>
    <n v="1.87"/>
    <n v="706"/>
    <n v="6.42"/>
    <x v="0"/>
  </r>
  <r>
    <x v="0"/>
    <s v="新宿区"/>
    <x v="5"/>
    <x v="3"/>
    <n v="23"/>
    <n v="0.15"/>
    <n v="0"/>
    <n v="0"/>
    <n v="23"/>
    <n v="0.21"/>
    <x v="0"/>
  </r>
  <r>
    <x v="0"/>
    <s v="新宿区"/>
    <x v="5"/>
    <x v="4"/>
    <n v="1023"/>
    <n v="6.52"/>
    <n v="32"/>
    <n v="0.69"/>
    <n v="986"/>
    <n v="8.9600000000000009"/>
    <x v="2"/>
  </r>
  <r>
    <x v="0"/>
    <s v="新宿区"/>
    <x v="5"/>
    <x v="5"/>
    <n v="89"/>
    <n v="0.56999999999999995"/>
    <n v="14"/>
    <n v="0.3"/>
    <n v="75"/>
    <n v="0.68"/>
    <x v="0"/>
  </r>
  <r>
    <x v="0"/>
    <s v="新宿区"/>
    <x v="5"/>
    <x v="6"/>
    <n v="2510"/>
    <n v="16"/>
    <n v="417"/>
    <n v="8.9700000000000006"/>
    <n v="2093"/>
    <n v="19.02"/>
    <x v="0"/>
  </r>
  <r>
    <x v="0"/>
    <s v="新宿区"/>
    <x v="5"/>
    <x v="7"/>
    <n v="98"/>
    <n v="0.62"/>
    <n v="0"/>
    <n v="0"/>
    <n v="97"/>
    <n v="0.88"/>
    <x v="21"/>
  </r>
  <r>
    <x v="0"/>
    <s v="新宿区"/>
    <x v="5"/>
    <x v="8"/>
    <n v="2678"/>
    <n v="17.07"/>
    <n v="527"/>
    <n v="11.34"/>
    <n v="2148"/>
    <n v="19.52"/>
    <x v="5"/>
  </r>
  <r>
    <x v="0"/>
    <s v="新宿区"/>
    <x v="5"/>
    <x v="9"/>
    <n v="2525"/>
    <n v="16.100000000000001"/>
    <n v="1048"/>
    <n v="22.55"/>
    <n v="1471"/>
    <n v="13.37"/>
    <x v="2"/>
  </r>
  <r>
    <x v="0"/>
    <s v="新宿区"/>
    <x v="5"/>
    <x v="10"/>
    <n v="2421"/>
    <n v="15.43"/>
    <n v="1453"/>
    <n v="31.27"/>
    <n v="966"/>
    <n v="8.7799999999999994"/>
    <x v="21"/>
  </r>
  <r>
    <x v="0"/>
    <s v="新宿区"/>
    <x v="5"/>
    <x v="11"/>
    <n v="1112"/>
    <n v="7.09"/>
    <n v="461"/>
    <n v="9.92"/>
    <n v="649"/>
    <n v="5.9"/>
    <x v="3"/>
  </r>
  <r>
    <x v="0"/>
    <s v="新宿区"/>
    <x v="5"/>
    <x v="12"/>
    <n v="404"/>
    <n v="2.58"/>
    <n v="147"/>
    <n v="3.16"/>
    <n v="252"/>
    <n v="2.29"/>
    <x v="13"/>
  </r>
  <r>
    <x v="0"/>
    <s v="新宿区"/>
    <x v="5"/>
    <x v="13"/>
    <n v="636"/>
    <n v="4.05"/>
    <n v="389"/>
    <n v="8.3699999999999992"/>
    <n v="242"/>
    <n v="2.2000000000000002"/>
    <x v="21"/>
  </r>
  <r>
    <x v="0"/>
    <s v="新宿区"/>
    <x v="5"/>
    <x v="14"/>
    <n v="631"/>
    <n v="4.0199999999999996"/>
    <n v="33"/>
    <n v="0.71"/>
    <n v="591"/>
    <n v="5.37"/>
    <x v="1"/>
  </r>
  <r>
    <x v="0"/>
    <s v="文京区"/>
    <x v="6"/>
    <x v="0"/>
    <n v="0"/>
    <n v="0"/>
    <n v="0"/>
    <n v="0"/>
    <n v="0"/>
    <n v="0"/>
    <x v="0"/>
  </r>
  <r>
    <x v="0"/>
    <s v="文京区"/>
    <x v="6"/>
    <x v="1"/>
    <n v="378"/>
    <n v="4.97"/>
    <n v="43"/>
    <n v="1.74"/>
    <n v="334"/>
    <n v="6.51"/>
    <x v="21"/>
  </r>
  <r>
    <x v="0"/>
    <s v="文京区"/>
    <x v="6"/>
    <x v="2"/>
    <n v="715"/>
    <n v="9.4"/>
    <n v="101"/>
    <n v="4.0999999999999996"/>
    <n v="613"/>
    <n v="11.96"/>
    <x v="21"/>
  </r>
  <r>
    <x v="0"/>
    <s v="文京区"/>
    <x v="6"/>
    <x v="3"/>
    <n v="6"/>
    <n v="0.08"/>
    <n v="1"/>
    <n v="0.04"/>
    <n v="5"/>
    <n v="0.1"/>
    <x v="0"/>
  </r>
  <r>
    <x v="0"/>
    <s v="文京区"/>
    <x v="6"/>
    <x v="4"/>
    <n v="391"/>
    <n v="5.14"/>
    <n v="14"/>
    <n v="0.56999999999999995"/>
    <n v="377"/>
    <n v="7.35"/>
    <x v="0"/>
  </r>
  <r>
    <x v="0"/>
    <s v="文京区"/>
    <x v="6"/>
    <x v="5"/>
    <n v="58"/>
    <n v="0.76"/>
    <n v="10"/>
    <n v="0.41"/>
    <n v="48"/>
    <n v="0.94"/>
    <x v="0"/>
  </r>
  <r>
    <x v="0"/>
    <s v="文京区"/>
    <x v="6"/>
    <x v="6"/>
    <n v="1470"/>
    <n v="19.32"/>
    <n v="393"/>
    <n v="15.94"/>
    <n v="1077"/>
    <n v="21.01"/>
    <x v="0"/>
  </r>
  <r>
    <x v="0"/>
    <s v="文京区"/>
    <x v="6"/>
    <x v="7"/>
    <n v="39"/>
    <n v="0.51"/>
    <n v="1"/>
    <n v="0.04"/>
    <n v="38"/>
    <n v="0.74"/>
    <x v="0"/>
  </r>
  <r>
    <x v="0"/>
    <s v="文京区"/>
    <x v="6"/>
    <x v="8"/>
    <n v="1441"/>
    <n v="18.940000000000001"/>
    <n v="428"/>
    <n v="17.36"/>
    <n v="1013"/>
    <n v="19.760000000000002"/>
    <x v="0"/>
  </r>
  <r>
    <x v="0"/>
    <s v="文京区"/>
    <x v="6"/>
    <x v="9"/>
    <n v="1021"/>
    <n v="13.42"/>
    <n v="361"/>
    <n v="14.64"/>
    <n v="657"/>
    <n v="12.81"/>
    <x v="3"/>
  </r>
  <r>
    <x v="0"/>
    <s v="文京区"/>
    <x v="6"/>
    <x v="10"/>
    <n v="837"/>
    <n v="11"/>
    <n v="507"/>
    <n v="20.56"/>
    <n v="329"/>
    <n v="6.42"/>
    <x v="0"/>
  </r>
  <r>
    <x v="0"/>
    <s v="文京区"/>
    <x v="6"/>
    <x v="11"/>
    <n v="466"/>
    <n v="6.12"/>
    <n v="259"/>
    <n v="10.5"/>
    <n v="207"/>
    <n v="4.04"/>
    <x v="0"/>
  </r>
  <r>
    <x v="0"/>
    <s v="文京区"/>
    <x v="6"/>
    <x v="12"/>
    <n v="229"/>
    <n v="3.01"/>
    <n v="121"/>
    <n v="4.91"/>
    <n v="105"/>
    <n v="2.0499999999999998"/>
    <x v="5"/>
  </r>
  <r>
    <x v="0"/>
    <s v="文京区"/>
    <x v="6"/>
    <x v="13"/>
    <n v="312"/>
    <n v="4.0999999999999996"/>
    <n v="205"/>
    <n v="8.31"/>
    <n v="107"/>
    <n v="2.09"/>
    <x v="0"/>
  </r>
  <r>
    <x v="0"/>
    <s v="文京区"/>
    <x v="6"/>
    <x v="14"/>
    <n v="246"/>
    <n v="3.23"/>
    <n v="22"/>
    <n v="0.89"/>
    <n v="217"/>
    <n v="4.2300000000000004"/>
    <x v="23"/>
  </r>
  <r>
    <x v="0"/>
    <s v="台東区"/>
    <x v="7"/>
    <x v="0"/>
    <n v="1"/>
    <n v="0.01"/>
    <n v="0"/>
    <n v="0"/>
    <n v="1"/>
    <n v="0.01"/>
    <x v="0"/>
  </r>
  <r>
    <x v="0"/>
    <s v="台東区"/>
    <x v="7"/>
    <x v="1"/>
    <n v="702"/>
    <n v="5.34"/>
    <n v="76"/>
    <n v="1.82"/>
    <n v="626"/>
    <n v="6.99"/>
    <x v="0"/>
  </r>
  <r>
    <x v="0"/>
    <s v="台東区"/>
    <x v="7"/>
    <x v="2"/>
    <n v="1897"/>
    <n v="14.42"/>
    <n v="508"/>
    <n v="12.14"/>
    <n v="1389"/>
    <n v="15.51"/>
    <x v="0"/>
  </r>
  <r>
    <x v="0"/>
    <s v="台東区"/>
    <x v="7"/>
    <x v="3"/>
    <n v="9"/>
    <n v="7.0000000000000007E-2"/>
    <n v="0"/>
    <n v="0"/>
    <n v="9"/>
    <n v="0.1"/>
    <x v="0"/>
  </r>
  <r>
    <x v="0"/>
    <s v="台東区"/>
    <x v="7"/>
    <x v="4"/>
    <n v="357"/>
    <n v="2.71"/>
    <n v="8"/>
    <n v="0.19"/>
    <n v="348"/>
    <n v="3.89"/>
    <x v="21"/>
  </r>
  <r>
    <x v="0"/>
    <s v="台東区"/>
    <x v="7"/>
    <x v="5"/>
    <n v="97"/>
    <n v="0.74"/>
    <n v="15"/>
    <n v="0.36"/>
    <n v="82"/>
    <n v="0.92"/>
    <x v="0"/>
  </r>
  <r>
    <x v="0"/>
    <s v="台東区"/>
    <x v="7"/>
    <x v="6"/>
    <n v="4124"/>
    <n v="31.34"/>
    <n v="874"/>
    <n v="20.88"/>
    <n v="3247"/>
    <n v="36.270000000000003"/>
    <x v="5"/>
  </r>
  <r>
    <x v="0"/>
    <s v="台東区"/>
    <x v="7"/>
    <x v="7"/>
    <n v="48"/>
    <n v="0.36"/>
    <n v="3"/>
    <n v="7.0000000000000007E-2"/>
    <n v="45"/>
    <n v="0.5"/>
    <x v="0"/>
  </r>
  <r>
    <x v="0"/>
    <s v="台東区"/>
    <x v="7"/>
    <x v="8"/>
    <n v="1678"/>
    <n v="12.75"/>
    <n v="451"/>
    <n v="10.78"/>
    <n v="1226"/>
    <n v="13.69"/>
    <x v="21"/>
  </r>
  <r>
    <x v="0"/>
    <s v="台東区"/>
    <x v="7"/>
    <x v="9"/>
    <n v="951"/>
    <n v="7.23"/>
    <n v="400"/>
    <n v="9.56"/>
    <n v="547"/>
    <n v="6.11"/>
    <x v="5"/>
  </r>
  <r>
    <x v="0"/>
    <s v="台東区"/>
    <x v="7"/>
    <x v="10"/>
    <n v="1762"/>
    <n v="13.39"/>
    <n v="1128"/>
    <n v="26.95"/>
    <n v="633"/>
    <n v="7.07"/>
    <x v="21"/>
  </r>
  <r>
    <x v="0"/>
    <s v="台東区"/>
    <x v="7"/>
    <x v="11"/>
    <n v="654"/>
    <n v="4.97"/>
    <n v="360"/>
    <n v="8.6"/>
    <n v="293"/>
    <n v="3.27"/>
    <x v="21"/>
  </r>
  <r>
    <x v="0"/>
    <s v="台東区"/>
    <x v="7"/>
    <x v="12"/>
    <n v="147"/>
    <n v="1.1200000000000001"/>
    <n v="69"/>
    <n v="1.65"/>
    <n v="72"/>
    <n v="0.8"/>
    <x v="5"/>
  </r>
  <r>
    <x v="0"/>
    <s v="台東区"/>
    <x v="7"/>
    <x v="13"/>
    <n v="377"/>
    <n v="2.87"/>
    <n v="253"/>
    <n v="6.05"/>
    <n v="124"/>
    <n v="1.39"/>
    <x v="0"/>
  </r>
  <r>
    <x v="0"/>
    <s v="台東区"/>
    <x v="7"/>
    <x v="14"/>
    <n v="353"/>
    <n v="2.68"/>
    <n v="40"/>
    <n v="0.96"/>
    <n v="311"/>
    <n v="3.47"/>
    <x v="21"/>
  </r>
  <r>
    <x v="0"/>
    <s v="墨田区"/>
    <x v="8"/>
    <x v="0"/>
    <n v="0"/>
    <n v="0"/>
    <n v="0"/>
    <n v="0"/>
    <n v="0"/>
    <n v="0"/>
    <x v="0"/>
  </r>
  <r>
    <x v="0"/>
    <s v="墨田区"/>
    <x v="8"/>
    <x v="1"/>
    <n v="739"/>
    <n v="8.1199999999999992"/>
    <n v="107"/>
    <n v="3.27"/>
    <n v="632"/>
    <n v="10.87"/>
    <x v="0"/>
  </r>
  <r>
    <x v="0"/>
    <s v="墨田区"/>
    <x v="8"/>
    <x v="2"/>
    <n v="2103"/>
    <n v="23.11"/>
    <n v="594"/>
    <n v="18.149999999999999"/>
    <n v="1509"/>
    <n v="25.95"/>
    <x v="0"/>
  </r>
  <r>
    <x v="0"/>
    <s v="墨田区"/>
    <x v="8"/>
    <x v="3"/>
    <n v="2"/>
    <n v="0.02"/>
    <n v="0"/>
    <n v="0"/>
    <n v="2"/>
    <n v="0.03"/>
    <x v="0"/>
  </r>
  <r>
    <x v="0"/>
    <s v="墨田区"/>
    <x v="8"/>
    <x v="4"/>
    <n v="145"/>
    <n v="1.59"/>
    <n v="4"/>
    <n v="0.12"/>
    <n v="141"/>
    <n v="2.4300000000000002"/>
    <x v="0"/>
  </r>
  <r>
    <x v="0"/>
    <s v="墨田区"/>
    <x v="8"/>
    <x v="5"/>
    <n v="96"/>
    <n v="1.05"/>
    <n v="26"/>
    <n v="0.79"/>
    <n v="70"/>
    <n v="1.2"/>
    <x v="0"/>
  </r>
  <r>
    <x v="0"/>
    <s v="墨田区"/>
    <x v="8"/>
    <x v="6"/>
    <n v="2026"/>
    <n v="22.26"/>
    <n v="505"/>
    <n v="15.43"/>
    <n v="1521"/>
    <n v="26.16"/>
    <x v="0"/>
  </r>
  <r>
    <x v="0"/>
    <s v="墨田区"/>
    <x v="8"/>
    <x v="7"/>
    <n v="42"/>
    <n v="0.46"/>
    <n v="4"/>
    <n v="0.12"/>
    <n v="38"/>
    <n v="0.65"/>
    <x v="0"/>
  </r>
  <r>
    <x v="0"/>
    <s v="墨田区"/>
    <x v="8"/>
    <x v="8"/>
    <n v="1038"/>
    <n v="11.41"/>
    <n v="280"/>
    <n v="8.5500000000000007"/>
    <n v="755"/>
    <n v="12.99"/>
    <x v="5"/>
  </r>
  <r>
    <x v="0"/>
    <s v="墨田区"/>
    <x v="8"/>
    <x v="9"/>
    <n v="468"/>
    <n v="5.14"/>
    <n v="225"/>
    <n v="6.87"/>
    <n v="241"/>
    <n v="4.1500000000000004"/>
    <x v="21"/>
  </r>
  <r>
    <x v="0"/>
    <s v="墨田区"/>
    <x v="8"/>
    <x v="10"/>
    <n v="1039"/>
    <n v="11.42"/>
    <n v="745"/>
    <n v="22.76"/>
    <n v="294"/>
    <n v="5.0599999999999996"/>
    <x v="0"/>
  </r>
  <r>
    <x v="0"/>
    <s v="墨田区"/>
    <x v="8"/>
    <x v="11"/>
    <n v="614"/>
    <n v="6.75"/>
    <n v="398"/>
    <n v="12.16"/>
    <n v="215"/>
    <n v="3.7"/>
    <x v="21"/>
  </r>
  <r>
    <x v="0"/>
    <s v="墨田区"/>
    <x v="8"/>
    <x v="12"/>
    <n v="199"/>
    <n v="2.19"/>
    <n v="104"/>
    <n v="3.18"/>
    <n v="91"/>
    <n v="1.57"/>
    <x v="21"/>
  </r>
  <r>
    <x v="0"/>
    <s v="墨田区"/>
    <x v="8"/>
    <x v="13"/>
    <n v="348"/>
    <n v="3.82"/>
    <n v="233"/>
    <n v="7.12"/>
    <n v="113"/>
    <n v="1.94"/>
    <x v="21"/>
  </r>
  <r>
    <x v="0"/>
    <s v="墨田区"/>
    <x v="8"/>
    <x v="14"/>
    <n v="241"/>
    <n v="2.65"/>
    <n v="48"/>
    <n v="1.47"/>
    <n v="192"/>
    <n v="3.3"/>
    <x v="21"/>
  </r>
  <r>
    <x v="0"/>
    <s v="江東区"/>
    <x v="9"/>
    <x v="0"/>
    <n v="0"/>
    <n v="0"/>
    <n v="0"/>
    <n v="0"/>
    <n v="0"/>
    <n v="0"/>
    <x v="0"/>
  </r>
  <r>
    <x v="0"/>
    <s v="江東区"/>
    <x v="9"/>
    <x v="1"/>
    <n v="941"/>
    <n v="9.6999999999999993"/>
    <n v="99"/>
    <n v="3.46"/>
    <n v="842"/>
    <n v="12.32"/>
    <x v="0"/>
  </r>
  <r>
    <x v="0"/>
    <s v="江東区"/>
    <x v="9"/>
    <x v="2"/>
    <n v="1362"/>
    <n v="14.03"/>
    <n v="305"/>
    <n v="10.67"/>
    <n v="1057"/>
    <n v="15.47"/>
    <x v="0"/>
  </r>
  <r>
    <x v="0"/>
    <s v="江東区"/>
    <x v="9"/>
    <x v="3"/>
    <n v="5"/>
    <n v="0.05"/>
    <n v="0"/>
    <n v="0"/>
    <n v="4"/>
    <n v="0.06"/>
    <x v="0"/>
  </r>
  <r>
    <x v="0"/>
    <s v="江東区"/>
    <x v="9"/>
    <x v="4"/>
    <n v="291"/>
    <n v="3"/>
    <n v="3"/>
    <n v="0.1"/>
    <n v="288"/>
    <n v="4.22"/>
    <x v="0"/>
  </r>
  <r>
    <x v="0"/>
    <s v="江東区"/>
    <x v="9"/>
    <x v="5"/>
    <n v="295"/>
    <n v="3.04"/>
    <n v="52"/>
    <n v="1.82"/>
    <n v="242"/>
    <n v="3.54"/>
    <x v="0"/>
  </r>
  <r>
    <x v="0"/>
    <s v="江東区"/>
    <x v="9"/>
    <x v="6"/>
    <n v="2281"/>
    <n v="23.5"/>
    <n v="549"/>
    <n v="19.21"/>
    <n v="1731"/>
    <n v="25.34"/>
    <x v="21"/>
  </r>
  <r>
    <x v="0"/>
    <s v="江東区"/>
    <x v="9"/>
    <x v="7"/>
    <n v="38"/>
    <n v="0.39"/>
    <n v="0"/>
    <n v="0"/>
    <n v="38"/>
    <n v="0.56000000000000005"/>
    <x v="0"/>
  </r>
  <r>
    <x v="0"/>
    <s v="江東区"/>
    <x v="9"/>
    <x v="8"/>
    <n v="1024"/>
    <n v="10.55"/>
    <n v="140"/>
    <n v="4.9000000000000004"/>
    <n v="884"/>
    <n v="12.94"/>
    <x v="0"/>
  </r>
  <r>
    <x v="0"/>
    <s v="江東区"/>
    <x v="9"/>
    <x v="9"/>
    <n v="604"/>
    <n v="6.22"/>
    <n v="179"/>
    <n v="6.26"/>
    <n v="421"/>
    <n v="6.16"/>
    <x v="0"/>
  </r>
  <r>
    <x v="0"/>
    <s v="江東区"/>
    <x v="9"/>
    <x v="10"/>
    <n v="1083"/>
    <n v="11.16"/>
    <n v="692"/>
    <n v="24.21"/>
    <n v="391"/>
    <n v="5.72"/>
    <x v="0"/>
  </r>
  <r>
    <x v="0"/>
    <s v="江東区"/>
    <x v="9"/>
    <x v="11"/>
    <n v="802"/>
    <n v="8.26"/>
    <n v="484"/>
    <n v="16.93"/>
    <n v="318"/>
    <n v="4.6500000000000004"/>
    <x v="0"/>
  </r>
  <r>
    <x v="0"/>
    <s v="江東区"/>
    <x v="9"/>
    <x v="12"/>
    <n v="174"/>
    <n v="1.79"/>
    <n v="67"/>
    <n v="2.34"/>
    <n v="106"/>
    <n v="1.55"/>
    <x v="0"/>
  </r>
  <r>
    <x v="0"/>
    <s v="江東区"/>
    <x v="9"/>
    <x v="13"/>
    <n v="398"/>
    <n v="4.0999999999999996"/>
    <n v="247"/>
    <n v="8.64"/>
    <n v="147"/>
    <n v="2.15"/>
    <x v="21"/>
  </r>
  <r>
    <x v="0"/>
    <s v="江東区"/>
    <x v="9"/>
    <x v="14"/>
    <n v="408"/>
    <n v="4.2"/>
    <n v="41"/>
    <n v="1.43"/>
    <n v="363"/>
    <n v="5.31"/>
    <x v="13"/>
  </r>
  <r>
    <x v="0"/>
    <s v="品川区"/>
    <x v="10"/>
    <x v="0"/>
    <n v="1"/>
    <n v="0.01"/>
    <n v="0"/>
    <n v="0"/>
    <n v="1"/>
    <n v="0.01"/>
    <x v="0"/>
  </r>
  <r>
    <x v="0"/>
    <s v="品川区"/>
    <x v="10"/>
    <x v="1"/>
    <n v="800"/>
    <n v="7.71"/>
    <n v="92"/>
    <n v="2.57"/>
    <n v="708"/>
    <n v="10.5"/>
    <x v="0"/>
  </r>
  <r>
    <x v="0"/>
    <s v="品川区"/>
    <x v="10"/>
    <x v="2"/>
    <n v="952"/>
    <n v="9.17"/>
    <n v="142"/>
    <n v="3.96"/>
    <n v="810"/>
    <n v="12.01"/>
    <x v="0"/>
  </r>
  <r>
    <x v="0"/>
    <s v="品川区"/>
    <x v="10"/>
    <x v="3"/>
    <n v="16"/>
    <n v="0.15"/>
    <n v="0"/>
    <n v="0"/>
    <n v="16"/>
    <n v="0.24"/>
    <x v="0"/>
  </r>
  <r>
    <x v="0"/>
    <s v="品川区"/>
    <x v="10"/>
    <x v="4"/>
    <n v="353"/>
    <n v="3.4"/>
    <n v="6"/>
    <n v="0.17"/>
    <n v="347"/>
    <n v="5.15"/>
    <x v="0"/>
  </r>
  <r>
    <x v="0"/>
    <s v="品川区"/>
    <x v="10"/>
    <x v="5"/>
    <n v="151"/>
    <n v="1.45"/>
    <n v="41"/>
    <n v="1.1399999999999999"/>
    <n v="110"/>
    <n v="1.63"/>
    <x v="0"/>
  </r>
  <r>
    <x v="0"/>
    <s v="品川区"/>
    <x v="10"/>
    <x v="6"/>
    <n v="1878"/>
    <n v="18.09"/>
    <n v="483"/>
    <n v="13.48"/>
    <n v="1395"/>
    <n v="20.69"/>
    <x v="0"/>
  </r>
  <r>
    <x v="0"/>
    <s v="品川区"/>
    <x v="10"/>
    <x v="7"/>
    <n v="67"/>
    <n v="0.65"/>
    <n v="3"/>
    <n v="0.08"/>
    <n v="64"/>
    <n v="0.95"/>
    <x v="0"/>
  </r>
  <r>
    <x v="0"/>
    <s v="品川区"/>
    <x v="10"/>
    <x v="8"/>
    <n v="1965"/>
    <n v="18.93"/>
    <n v="771"/>
    <n v="21.52"/>
    <n v="1192"/>
    <n v="17.670000000000002"/>
    <x v="3"/>
  </r>
  <r>
    <x v="0"/>
    <s v="品川区"/>
    <x v="10"/>
    <x v="9"/>
    <n v="881"/>
    <n v="8.49"/>
    <n v="253"/>
    <n v="7.06"/>
    <n v="626"/>
    <n v="9.2799999999999994"/>
    <x v="21"/>
  </r>
  <r>
    <x v="0"/>
    <s v="品川区"/>
    <x v="10"/>
    <x v="10"/>
    <n v="1330"/>
    <n v="12.81"/>
    <n v="852"/>
    <n v="23.78"/>
    <n v="478"/>
    <n v="7.09"/>
    <x v="0"/>
  </r>
  <r>
    <x v="0"/>
    <s v="品川区"/>
    <x v="10"/>
    <x v="11"/>
    <n v="868"/>
    <n v="8.36"/>
    <n v="495"/>
    <n v="13.82"/>
    <n v="373"/>
    <n v="5.53"/>
    <x v="0"/>
  </r>
  <r>
    <x v="0"/>
    <s v="品川区"/>
    <x v="10"/>
    <x v="12"/>
    <n v="244"/>
    <n v="2.35"/>
    <n v="106"/>
    <n v="2.96"/>
    <n v="137"/>
    <n v="2.0299999999999998"/>
    <x v="21"/>
  </r>
  <r>
    <x v="0"/>
    <s v="品川区"/>
    <x v="10"/>
    <x v="13"/>
    <n v="490"/>
    <n v="4.72"/>
    <n v="314"/>
    <n v="8.76"/>
    <n v="136"/>
    <n v="2.02"/>
    <x v="3"/>
  </r>
  <r>
    <x v="0"/>
    <s v="品川区"/>
    <x v="10"/>
    <x v="14"/>
    <n v="383"/>
    <n v="3.69"/>
    <n v="25"/>
    <n v="0.7"/>
    <n v="351"/>
    <n v="5.2"/>
    <x v="5"/>
  </r>
  <r>
    <x v="0"/>
    <s v="目黒区"/>
    <x v="11"/>
    <x v="0"/>
    <n v="1"/>
    <n v="0.01"/>
    <n v="0"/>
    <n v="0"/>
    <n v="1"/>
    <n v="0.02"/>
    <x v="0"/>
  </r>
  <r>
    <x v="0"/>
    <s v="目黒区"/>
    <x v="11"/>
    <x v="1"/>
    <n v="412"/>
    <n v="5.59"/>
    <n v="53"/>
    <n v="2.41"/>
    <n v="359"/>
    <n v="6.97"/>
    <x v="0"/>
  </r>
  <r>
    <x v="0"/>
    <s v="目黒区"/>
    <x v="11"/>
    <x v="2"/>
    <n v="401"/>
    <n v="5.44"/>
    <n v="58"/>
    <n v="2.64"/>
    <n v="343"/>
    <n v="6.66"/>
    <x v="0"/>
  </r>
  <r>
    <x v="0"/>
    <s v="目黒区"/>
    <x v="11"/>
    <x v="3"/>
    <n v="9"/>
    <n v="0.12"/>
    <n v="0"/>
    <n v="0"/>
    <n v="9"/>
    <n v="0.17"/>
    <x v="0"/>
  </r>
  <r>
    <x v="0"/>
    <s v="目黒区"/>
    <x v="11"/>
    <x v="4"/>
    <n v="311"/>
    <n v="4.22"/>
    <n v="4"/>
    <n v="0.18"/>
    <n v="307"/>
    <n v="5.96"/>
    <x v="0"/>
  </r>
  <r>
    <x v="0"/>
    <s v="目黒区"/>
    <x v="11"/>
    <x v="5"/>
    <n v="28"/>
    <n v="0.38"/>
    <n v="4"/>
    <n v="0.18"/>
    <n v="24"/>
    <n v="0.47"/>
    <x v="0"/>
  </r>
  <r>
    <x v="0"/>
    <s v="目黒区"/>
    <x v="11"/>
    <x v="6"/>
    <n v="1557"/>
    <n v="21.12"/>
    <n v="415"/>
    <n v="18.86"/>
    <n v="1141"/>
    <n v="22.14"/>
    <x v="21"/>
  </r>
  <r>
    <x v="0"/>
    <s v="目黒区"/>
    <x v="11"/>
    <x v="7"/>
    <n v="40"/>
    <n v="0.54"/>
    <n v="2"/>
    <n v="0.09"/>
    <n v="38"/>
    <n v="0.74"/>
    <x v="0"/>
  </r>
  <r>
    <x v="0"/>
    <s v="目黒区"/>
    <x v="11"/>
    <x v="8"/>
    <n v="1368"/>
    <n v="18.559999999999999"/>
    <n v="268"/>
    <n v="12.18"/>
    <n v="1099"/>
    <n v="21.33"/>
    <x v="0"/>
  </r>
  <r>
    <x v="0"/>
    <s v="目黒区"/>
    <x v="11"/>
    <x v="9"/>
    <n v="776"/>
    <n v="10.53"/>
    <n v="164"/>
    <n v="7.45"/>
    <n v="612"/>
    <n v="11.88"/>
    <x v="0"/>
  </r>
  <r>
    <x v="0"/>
    <s v="目黒区"/>
    <x v="11"/>
    <x v="10"/>
    <n v="824"/>
    <n v="11.18"/>
    <n v="502"/>
    <n v="22.81"/>
    <n v="319"/>
    <n v="6.19"/>
    <x v="21"/>
  </r>
  <r>
    <x v="0"/>
    <s v="目黒区"/>
    <x v="11"/>
    <x v="11"/>
    <n v="797"/>
    <n v="10.81"/>
    <n v="387"/>
    <n v="17.579999999999998"/>
    <n v="409"/>
    <n v="7.94"/>
    <x v="21"/>
  </r>
  <r>
    <x v="0"/>
    <s v="目黒区"/>
    <x v="11"/>
    <x v="12"/>
    <n v="222"/>
    <n v="3.01"/>
    <n v="78"/>
    <n v="3.54"/>
    <n v="139"/>
    <n v="2.7"/>
    <x v="5"/>
  </r>
  <r>
    <x v="0"/>
    <s v="目黒区"/>
    <x v="11"/>
    <x v="13"/>
    <n v="375"/>
    <n v="5.09"/>
    <n v="241"/>
    <n v="10.95"/>
    <n v="128"/>
    <n v="2.48"/>
    <x v="0"/>
  </r>
  <r>
    <x v="0"/>
    <s v="目黒区"/>
    <x v="11"/>
    <x v="14"/>
    <n v="251"/>
    <n v="3.4"/>
    <n v="25"/>
    <n v="1.1399999999999999"/>
    <n v="225"/>
    <n v="4.37"/>
    <x v="0"/>
  </r>
  <r>
    <x v="0"/>
    <s v="大田区"/>
    <x v="12"/>
    <x v="0"/>
    <n v="0"/>
    <n v="0"/>
    <n v="0"/>
    <n v="0"/>
    <n v="0"/>
    <n v="0"/>
    <x v="0"/>
  </r>
  <r>
    <x v="0"/>
    <s v="大田区"/>
    <x v="12"/>
    <x v="1"/>
    <n v="1733"/>
    <n v="10.17"/>
    <n v="224"/>
    <n v="3.8"/>
    <n v="1509"/>
    <n v="13.55"/>
    <x v="0"/>
  </r>
  <r>
    <x v="0"/>
    <s v="大田区"/>
    <x v="12"/>
    <x v="2"/>
    <n v="2800"/>
    <n v="16.440000000000001"/>
    <n v="515"/>
    <n v="8.75"/>
    <n v="2285"/>
    <n v="20.52"/>
    <x v="0"/>
  </r>
  <r>
    <x v="0"/>
    <s v="大田区"/>
    <x v="12"/>
    <x v="3"/>
    <n v="11"/>
    <n v="0.06"/>
    <n v="0"/>
    <n v="0"/>
    <n v="10"/>
    <n v="0.09"/>
    <x v="0"/>
  </r>
  <r>
    <x v="0"/>
    <s v="大田区"/>
    <x v="12"/>
    <x v="4"/>
    <n v="327"/>
    <n v="1.92"/>
    <n v="10"/>
    <n v="0.17"/>
    <n v="317"/>
    <n v="2.85"/>
    <x v="0"/>
  </r>
  <r>
    <x v="0"/>
    <s v="大田区"/>
    <x v="12"/>
    <x v="5"/>
    <n v="385"/>
    <n v="2.2599999999999998"/>
    <n v="114"/>
    <n v="1.94"/>
    <n v="271"/>
    <n v="2.4300000000000002"/>
    <x v="0"/>
  </r>
  <r>
    <x v="0"/>
    <s v="大田区"/>
    <x v="12"/>
    <x v="6"/>
    <n v="3220"/>
    <n v="18.899999999999999"/>
    <n v="973"/>
    <n v="16.53"/>
    <n v="2247"/>
    <n v="20.18"/>
    <x v="0"/>
  </r>
  <r>
    <x v="0"/>
    <s v="大田区"/>
    <x v="12"/>
    <x v="7"/>
    <n v="68"/>
    <n v="0.4"/>
    <n v="2"/>
    <n v="0.03"/>
    <n v="66"/>
    <n v="0.59"/>
    <x v="0"/>
  </r>
  <r>
    <x v="0"/>
    <s v="大田区"/>
    <x v="12"/>
    <x v="8"/>
    <n v="2633"/>
    <n v="15.46"/>
    <n v="775"/>
    <n v="13.16"/>
    <n v="1855"/>
    <n v="16.66"/>
    <x v="5"/>
  </r>
  <r>
    <x v="0"/>
    <s v="大田区"/>
    <x v="12"/>
    <x v="9"/>
    <n v="931"/>
    <n v="5.46"/>
    <n v="287"/>
    <n v="4.88"/>
    <n v="644"/>
    <n v="5.78"/>
    <x v="0"/>
  </r>
  <r>
    <x v="0"/>
    <s v="大田区"/>
    <x v="12"/>
    <x v="10"/>
    <n v="1909"/>
    <n v="11.21"/>
    <n v="1366"/>
    <n v="23.2"/>
    <n v="543"/>
    <n v="4.88"/>
    <x v="0"/>
  </r>
  <r>
    <x v="0"/>
    <s v="大田区"/>
    <x v="12"/>
    <x v="11"/>
    <n v="1409"/>
    <n v="8.27"/>
    <n v="875"/>
    <n v="14.86"/>
    <n v="533"/>
    <n v="4.79"/>
    <x v="0"/>
  </r>
  <r>
    <x v="0"/>
    <s v="大田区"/>
    <x v="12"/>
    <x v="12"/>
    <n v="367"/>
    <n v="2.15"/>
    <n v="202"/>
    <n v="3.43"/>
    <n v="164"/>
    <n v="1.47"/>
    <x v="21"/>
  </r>
  <r>
    <x v="0"/>
    <s v="大田区"/>
    <x v="12"/>
    <x v="13"/>
    <n v="751"/>
    <n v="4.41"/>
    <n v="478"/>
    <n v="8.1199999999999992"/>
    <n v="272"/>
    <n v="2.44"/>
    <x v="0"/>
  </r>
  <r>
    <x v="0"/>
    <s v="大田区"/>
    <x v="12"/>
    <x v="14"/>
    <n v="492"/>
    <n v="2.89"/>
    <n v="66"/>
    <n v="1.1200000000000001"/>
    <n v="417"/>
    <n v="3.75"/>
    <x v="21"/>
  </r>
  <r>
    <x v="0"/>
    <s v="世田谷区"/>
    <x v="13"/>
    <x v="0"/>
    <n v="0"/>
    <n v="0"/>
    <n v="0"/>
    <n v="0"/>
    <n v="0"/>
    <n v="0"/>
    <x v="0"/>
  </r>
  <r>
    <x v="0"/>
    <s v="世田谷区"/>
    <x v="13"/>
    <x v="1"/>
    <n v="1421"/>
    <n v="8.7899999999999991"/>
    <n v="156"/>
    <n v="2.86"/>
    <n v="1265"/>
    <n v="11.82"/>
    <x v="0"/>
  </r>
  <r>
    <x v="0"/>
    <s v="世田谷区"/>
    <x v="13"/>
    <x v="2"/>
    <n v="563"/>
    <n v="3.48"/>
    <n v="93"/>
    <n v="1.7"/>
    <n v="469"/>
    <n v="4.38"/>
    <x v="21"/>
  </r>
  <r>
    <x v="0"/>
    <s v="世田谷区"/>
    <x v="13"/>
    <x v="3"/>
    <n v="8"/>
    <n v="0.05"/>
    <n v="0"/>
    <n v="0"/>
    <n v="8"/>
    <n v="7.0000000000000007E-2"/>
    <x v="0"/>
  </r>
  <r>
    <x v="0"/>
    <s v="世田谷区"/>
    <x v="13"/>
    <x v="4"/>
    <n v="596"/>
    <n v="3.68"/>
    <n v="17"/>
    <n v="0.31"/>
    <n v="579"/>
    <n v="5.41"/>
    <x v="0"/>
  </r>
  <r>
    <x v="0"/>
    <s v="世田谷区"/>
    <x v="13"/>
    <x v="5"/>
    <n v="112"/>
    <n v="0.69"/>
    <n v="58"/>
    <n v="1.06"/>
    <n v="54"/>
    <n v="0.5"/>
    <x v="0"/>
  </r>
  <r>
    <x v="0"/>
    <s v="世田谷区"/>
    <x v="13"/>
    <x v="6"/>
    <n v="3417"/>
    <n v="21.13"/>
    <n v="1047"/>
    <n v="19.190000000000001"/>
    <n v="2369"/>
    <n v="22.14"/>
    <x v="21"/>
  </r>
  <r>
    <x v="0"/>
    <s v="世田谷区"/>
    <x v="13"/>
    <x v="7"/>
    <n v="70"/>
    <n v="0.43"/>
    <n v="4"/>
    <n v="7.0000000000000007E-2"/>
    <n v="66"/>
    <n v="0.62"/>
    <x v="0"/>
  </r>
  <r>
    <x v="0"/>
    <s v="世田谷区"/>
    <x v="13"/>
    <x v="8"/>
    <n v="2537"/>
    <n v="15.68"/>
    <n v="318"/>
    <n v="5.83"/>
    <n v="2214"/>
    <n v="20.7"/>
    <x v="13"/>
  </r>
  <r>
    <x v="0"/>
    <s v="世田谷区"/>
    <x v="13"/>
    <x v="9"/>
    <n v="1664"/>
    <n v="10.29"/>
    <n v="435"/>
    <n v="7.97"/>
    <n v="1228"/>
    <n v="11.48"/>
    <x v="21"/>
  </r>
  <r>
    <x v="0"/>
    <s v="世田谷区"/>
    <x v="13"/>
    <x v="10"/>
    <n v="1723"/>
    <n v="10.65"/>
    <n v="1154"/>
    <n v="21.15"/>
    <n v="567"/>
    <n v="5.3"/>
    <x v="21"/>
  </r>
  <r>
    <x v="0"/>
    <s v="世田谷区"/>
    <x v="13"/>
    <x v="11"/>
    <n v="1882"/>
    <n v="11.64"/>
    <n v="1088"/>
    <n v="19.940000000000001"/>
    <n v="794"/>
    <n v="7.42"/>
    <x v="0"/>
  </r>
  <r>
    <x v="0"/>
    <s v="世田谷区"/>
    <x v="13"/>
    <x v="12"/>
    <n v="667"/>
    <n v="4.12"/>
    <n v="360"/>
    <n v="6.6"/>
    <n v="303"/>
    <n v="2.83"/>
    <x v="3"/>
  </r>
  <r>
    <x v="0"/>
    <s v="世田谷区"/>
    <x v="13"/>
    <x v="13"/>
    <n v="1006"/>
    <n v="6.22"/>
    <n v="670"/>
    <n v="12.28"/>
    <n v="335"/>
    <n v="3.13"/>
    <x v="21"/>
  </r>
  <r>
    <x v="0"/>
    <s v="世田谷区"/>
    <x v="13"/>
    <x v="14"/>
    <n v="509"/>
    <n v="3.15"/>
    <n v="57"/>
    <n v="1.04"/>
    <n v="447"/>
    <n v="4.18"/>
    <x v="13"/>
  </r>
  <r>
    <x v="0"/>
    <s v="渋谷区"/>
    <x v="14"/>
    <x v="0"/>
    <n v="0"/>
    <n v="0"/>
    <n v="0"/>
    <n v="0"/>
    <n v="0"/>
    <n v="0"/>
    <x v="0"/>
  </r>
  <r>
    <x v="0"/>
    <s v="渋谷区"/>
    <x v="14"/>
    <x v="1"/>
    <n v="574"/>
    <n v="3.65"/>
    <n v="32"/>
    <n v="0.94"/>
    <n v="542"/>
    <n v="4.41"/>
    <x v="0"/>
  </r>
  <r>
    <x v="0"/>
    <s v="渋谷区"/>
    <x v="14"/>
    <x v="2"/>
    <n v="606"/>
    <n v="3.86"/>
    <n v="48"/>
    <n v="1.41"/>
    <n v="558"/>
    <n v="4.55"/>
    <x v="0"/>
  </r>
  <r>
    <x v="0"/>
    <s v="渋谷区"/>
    <x v="14"/>
    <x v="3"/>
    <n v="12"/>
    <n v="0.08"/>
    <n v="0"/>
    <n v="0"/>
    <n v="12"/>
    <n v="0.1"/>
    <x v="0"/>
  </r>
  <r>
    <x v="0"/>
    <s v="渋谷区"/>
    <x v="14"/>
    <x v="4"/>
    <n v="1213"/>
    <n v="7.72"/>
    <n v="22"/>
    <n v="0.64"/>
    <n v="1191"/>
    <n v="9.6999999999999993"/>
    <x v="0"/>
  </r>
  <r>
    <x v="0"/>
    <s v="渋谷区"/>
    <x v="14"/>
    <x v="5"/>
    <n v="79"/>
    <n v="0.5"/>
    <n v="4"/>
    <n v="0.12"/>
    <n v="74"/>
    <n v="0.6"/>
    <x v="21"/>
  </r>
  <r>
    <x v="0"/>
    <s v="渋谷区"/>
    <x v="14"/>
    <x v="6"/>
    <n v="3373"/>
    <n v="21.47"/>
    <n v="418"/>
    <n v="12.25"/>
    <n v="2954"/>
    <n v="24.06"/>
    <x v="21"/>
  </r>
  <r>
    <x v="0"/>
    <s v="渋谷区"/>
    <x v="14"/>
    <x v="7"/>
    <n v="88"/>
    <n v="0.56000000000000005"/>
    <n v="3"/>
    <n v="0.09"/>
    <n v="85"/>
    <n v="0.69"/>
    <x v="0"/>
  </r>
  <r>
    <x v="0"/>
    <s v="渋谷区"/>
    <x v="14"/>
    <x v="8"/>
    <n v="2350"/>
    <n v="14.96"/>
    <n v="199"/>
    <n v="5.83"/>
    <n v="2145"/>
    <n v="17.47"/>
    <x v="1"/>
  </r>
  <r>
    <x v="0"/>
    <s v="渋谷区"/>
    <x v="14"/>
    <x v="9"/>
    <n v="2515"/>
    <n v="16.010000000000002"/>
    <n v="684"/>
    <n v="20.05"/>
    <n v="1830"/>
    <n v="14.91"/>
    <x v="21"/>
  </r>
  <r>
    <x v="0"/>
    <s v="渋谷区"/>
    <x v="14"/>
    <x v="10"/>
    <n v="1592"/>
    <n v="10.130000000000001"/>
    <n v="790"/>
    <n v="23.16"/>
    <n v="802"/>
    <n v="6.53"/>
    <x v="0"/>
  </r>
  <r>
    <x v="0"/>
    <s v="渋谷区"/>
    <x v="14"/>
    <x v="11"/>
    <n v="1593"/>
    <n v="10.14"/>
    <n v="670"/>
    <n v="19.64"/>
    <n v="923"/>
    <n v="7.52"/>
    <x v="0"/>
  </r>
  <r>
    <x v="0"/>
    <s v="渋谷区"/>
    <x v="14"/>
    <x v="12"/>
    <n v="464"/>
    <n v="2.95"/>
    <n v="156"/>
    <n v="4.57"/>
    <n v="307"/>
    <n v="2.5"/>
    <x v="21"/>
  </r>
  <r>
    <x v="0"/>
    <s v="渋谷区"/>
    <x v="14"/>
    <x v="13"/>
    <n v="560"/>
    <n v="3.57"/>
    <n v="360"/>
    <n v="10.55"/>
    <n v="196"/>
    <n v="1.6"/>
    <x v="21"/>
  </r>
  <r>
    <x v="0"/>
    <s v="渋谷区"/>
    <x v="14"/>
    <x v="14"/>
    <n v="689"/>
    <n v="4.3899999999999997"/>
    <n v="25"/>
    <n v="0.73"/>
    <n v="658"/>
    <n v="5.36"/>
    <x v="13"/>
  </r>
  <r>
    <x v="0"/>
    <s v="中野区"/>
    <x v="15"/>
    <x v="0"/>
    <n v="0"/>
    <n v="0"/>
    <n v="0"/>
    <n v="0"/>
    <n v="0"/>
    <n v="0"/>
    <x v="0"/>
  </r>
  <r>
    <x v="0"/>
    <s v="中野区"/>
    <x v="15"/>
    <x v="1"/>
    <n v="647"/>
    <n v="8.69"/>
    <n v="93"/>
    <n v="3.11"/>
    <n v="554"/>
    <n v="12.49"/>
    <x v="0"/>
  </r>
  <r>
    <x v="0"/>
    <s v="中野区"/>
    <x v="15"/>
    <x v="2"/>
    <n v="272"/>
    <n v="3.65"/>
    <n v="49"/>
    <n v="1.64"/>
    <n v="223"/>
    <n v="5.03"/>
    <x v="0"/>
  </r>
  <r>
    <x v="0"/>
    <s v="中野区"/>
    <x v="15"/>
    <x v="3"/>
    <n v="6"/>
    <n v="0.08"/>
    <n v="0"/>
    <n v="0"/>
    <n v="6"/>
    <n v="0.14000000000000001"/>
    <x v="0"/>
  </r>
  <r>
    <x v="0"/>
    <s v="中野区"/>
    <x v="15"/>
    <x v="4"/>
    <n v="280"/>
    <n v="3.76"/>
    <n v="8"/>
    <n v="0.27"/>
    <n v="272"/>
    <n v="6.13"/>
    <x v="0"/>
  </r>
  <r>
    <x v="0"/>
    <s v="中野区"/>
    <x v="15"/>
    <x v="5"/>
    <n v="53"/>
    <n v="0.71"/>
    <n v="25"/>
    <n v="0.84"/>
    <n v="28"/>
    <n v="0.63"/>
    <x v="0"/>
  </r>
  <r>
    <x v="0"/>
    <s v="中野区"/>
    <x v="15"/>
    <x v="6"/>
    <n v="1375"/>
    <n v="18.46"/>
    <n v="464"/>
    <n v="15.53"/>
    <n v="911"/>
    <n v="20.53"/>
    <x v="0"/>
  </r>
  <r>
    <x v="0"/>
    <s v="中野区"/>
    <x v="15"/>
    <x v="7"/>
    <n v="28"/>
    <n v="0.38"/>
    <n v="3"/>
    <n v="0.1"/>
    <n v="25"/>
    <n v="0.56000000000000005"/>
    <x v="0"/>
  </r>
  <r>
    <x v="0"/>
    <s v="中野区"/>
    <x v="15"/>
    <x v="8"/>
    <n v="1608"/>
    <n v="21.59"/>
    <n v="562"/>
    <n v="18.809999999999999"/>
    <n v="1046"/>
    <n v="23.57"/>
    <x v="0"/>
  </r>
  <r>
    <x v="0"/>
    <s v="中野区"/>
    <x v="15"/>
    <x v="9"/>
    <n v="679"/>
    <n v="9.1199999999999992"/>
    <n v="228"/>
    <n v="7.63"/>
    <n v="449"/>
    <n v="10.119999999999999"/>
    <x v="0"/>
  </r>
  <r>
    <x v="0"/>
    <s v="中野区"/>
    <x v="15"/>
    <x v="10"/>
    <n v="905"/>
    <n v="12.15"/>
    <n v="662"/>
    <n v="22.16"/>
    <n v="243"/>
    <n v="5.48"/>
    <x v="0"/>
  </r>
  <r>
    <x v="0"/>
    <s v="中野区"/>
    <x v="15"/>
    <x v="11"/>
    <n v="802"/>
    <n v="10.77"/>
    <n v="488"/>
    <n v="16.329999999999998"/>
    <n v="314"/>
    <n v="7.08"/>
    <x v="0"/>
  </r>
  <r>
    <x v="0"/>
    <s v="中野区"/>
    <x v="15"/>
    <x v="12"/>
    <n v="208"/>
    <n v="2.79"/>
    <n v="114"/>
    <n v="3.82"/>
    <n v="93"/>
    <n v="2.1"/>
    <x v="21"/>
  </r>
  <r>
    <x v="0"/>
    <s v="中野区"/>
    <x v="15"/>
    <x v="13"/>
    <n v="378"/>
    <n v="5.08"/>
    <n v="256"/>
    <n v="8.57"/>
    <n v="120"/>
    <n v="2.7"/>
    <x v="0"/>
  </r>
  <r>
    <x v="0"/>
    <s v="中野区"/>
    <x v="15"/>
    <x v="14"/>
    <n v="206"/>
    <n v="2.77"/>
    <n v="36"/>
    <n v="1.2"/>
    <n v="153"/>
    <n v="3.45"/>
    <x v="3"/>
  </r>
  <r>
    <x v="0"/>
    <s v="杉並区"/>
    <x v="16"/>
    <x v="0"/>
    <n v="0"/>
    <n v="0"/>
    <n v="0"/>
    <n v="0"/>
    <n v="0"/>
    <n v="0"/>
    <x v="0"/>
  </r>
  <r>
    <x v="0"/>
    <s v="杉並区"/>
    <x v="16"/>
    <x v="1"/>
    <n v="927"/>
    <n v="7.61"/>
    <n v="118"/>
    <n v="2.2999999999999998"/>
    <n v="809"/>
    <n v="11.51"/>
    <x v="0"/>
  </r>
  <r>
    <x v="0"/>
    <s v="杉並区"/>
    <x v="16"/>
    <x v="2"/>
    <n v="363"/>
    <n v="2.98"/>
    <n v="66"/>
    <n v="1.29"/>
    <n v="297"/>
    <n v="4.2300000000000004"/>
    <x v="0"/>
  </r>
  <r>
    <x v="0"/>
    <s v="杉並区"/>
    <x v="16"/>
    <x v="3"/>
    <n v="10"/>
    <n v="0.08"/>
    <n v="0"/>
    <n v="0"/>
    <n v="10"/>
    <n v="0.14000000000000001"/>
    <x v="0"/>
  </r>
  <r>
    <x v="0"/>
    <s v="杉並区"/>
    <x v="16"/>
    <x v="4"/>
    <n v="475"/>
    <n v="3.9"/>
    <n v="17"/>
    <n v="0.33"/>
    <n v="458"/>
    <n v="6.52"/>
    <x v="0"/>
  </r>
  <r>
    <x v="0"/>
    <s v="杉並区"/>
    <x v="16"/>
    <x v="5"/>
    <n v="88"/>
    <n v="0.72"/>
    <n v="43"/>
    <n v="0.84"/>
    <n v="45"/>
    <n v="0.64"/>
    <x v="0"/>
  </r>
  <r>
    <x v="0"/>
    <s v="杉並区"/>
    <x v="16"/>
    <x v="6"/>
    <n v="2288"/>
    <n v="18.79"/>
    <n v="876"/>
    <n v="17.079999999999998"/>
    <n v="1410"/>
    <n v="20.059999999999999"/>
    <x v="3"/>
  </r>
  <r>
    <x v="0"/>
    <s v="杉並区"/>
    <x v="16"/>
    <x v="7"/>
    <n v="37"/>
    <n v="0.3"/>
    <n v="1"/>
    <n v="0.02"/>
    <n v="36"/>
    <n v="0.51"/>
    <x v="0"/>
  </r>
  <r>
    <x v="0"/>
    <s v="杉並区"/>
    <x v="16"/>
    <x v="8"/>
    <n v="2493"/>
    <n v="20.47"/>
    <n v="810"/>
    <n v="15.79"/>
    <n v="1681"/>
    <n v="23.92"/>
    <x v="3"/>
  </r>
  <r>
    <x v="0"/>
    <s v="杉並区"/>
    <x v="16"/>
    <x v="9"/>
    <n v="1155"/>
    <n v="9.49"/>
    <n v="420"/>
    <n v="8.19"/>
    <n v="734"/>
    <n v="10.44"/>
    <x v="0"/>
  </r>
  <r>
    <x v="0"/>
    <s v="杉並区"/>
    <x v="16"/>
    <x v="10"/>
    <n v="1658"/>
    <n v="13.62"/>
    <n v="1239"/>
    <n v="24.16"/>
    <n v="417"/>
    <n v="5.93"/>
    <x v="21"/>
  </r>
  <r>
    <x v="0"/>
    <s v="杉並区"/>
    <x v="16"/>
    <x v="11"/>
    <n v="1235"/>
    <n v="10.14"/>
    <n v="726"/>
    <n v="14.15"/>
    <n v="506"/>
    <n v="7.2"/>
    <x v="5"/>
  </r>
  <r>
    <x v="0"/>
    <s v="杉並区"/>
    <x v="16"/>
    <x v="12"/>
    <n v="434"/>
    <n v="3.56"/>
    <n v="275"/>
    <n v="5.36"/>
    <n v="158"/>
    <n v="2.25"/>
    <x v="21"/>
  </r>
  <r>
    <x v="0"/>
    <s v="杉並区"/>
    <x v="16"/>
    <x v="13"/>
    <n v="695"/>
    <n v="5.71"/>
    <n v="475"/>
    <n v="9.26"/>
    <n v="213"/>
    <n v="3.03"/>
    <x v="0"/>
  </r>
  <r>
    <x v="0"/>
    <s v="杉並区"/>
    <x v="16"/>
    <x v="14"/>
    <n v="319"/>
    <n v="2.62"/>
    <n v="63"/>
    <n v="1.23"/>
    <n v="255"/>
    <n v="3.63"/>
    <x v="21"/>
  </r>
  <r>
    <x v="0"/>
    <s v="豊島区"/>
    <x v="17"/>
    <x v="0"/>
    <n v="1"/>
    <n v="0.01"/>
    <n v="0"/>
    <n v="0"/>
    <n v="1"/>
    <n v="0.01"/>
    <x v="0"/>
  </r>
  <r>
    <x v="0"/>
    <s v="豊島区"/>
    <x v="17"/>
    <x v="1"/>
    <n v="676"/>
    <n v="6.87"/>
    <n v="55"/>
    <n v="1.75"/>
    <n v="621"/>
    <n v="9.2899999999999991"/>
    <x v="0"/>
  </r>
  <r>
    <x v="0"/>
    <s v="豊島区"/>
    <x v="17"/>
    <x v="2"/>
    <n v="526"/>
    <n v="5.34"/>
    <n v="71"/>
    <n v="2.2599999999999998"/>
    <n v="455"/>
    <n v="6.8"/>
    <x v="0"/>
  </r>
  <r>
    <x v="0"/>
    <s v="豊島区"/>
    <x v="17"/>
    <x v="3"/>
    <n v="8"/>
    <n v="0.08"/>
    <n v="0"/>
    <n v="0"/>
    <n v="8"/>
    <n v="0.12"/>
    <x v="0"/>
  </r>
  <r>
    <x v="0"/>
    <s v="豊島区"/>
    <x v="17"/>
    <x v="4"/>
    <n v="449"/>
    <n v="4.5599999999999996"/>
    <n v="13"/>
    <n v="0.41"/>
    <n v="435"/>
    <n v="6.5"/>
    <x v="21"/>
  </r>
  <r>
    <x v="0"/>
    <s v="豊島区"/>
    <x v="17"/>
    <x v="5"/>
    <n v="63"/>
    <n v="0.64"/>
    <n v="23"/>
    <n v="0.73"/>
    <n v="40"/>
    <n v="0.6"/>
    <x v="0"/>
  </r>
  <r>
    <x v="0"/>
    <s v="豊島区"/>
    <x v="17"/>
    <x v="6"/>
    <n v="2051"/>
    <n v="20.83"/>
    <n v="453"/>
    <n v="14.44"/>
    <n v="1598"/>
    <n v="23.89"/>
    <x v="0"/>
  </r>
  <r>
    <x v="0"/>
    <s v="豊島区"/>
    <x v="17"/>
    <x v="7"/>
    <n v="64"/>
    <n v="0.65"/>
    <n v="3"/>
    <n v="0.1"/>
    <n v="61"/>
    <n v="0.91"/>
    <x v="0"/>
  </r>
  <r>
    <x v="0"/>
    <s v="豊島区"/>
    <x v="17"/>
    <x v="8"/>
    <n v="1624"/>
    <n v="16.489999999999998"/>
    <n v="306"/>
    <n v="9.75"/>
    <n v="1316"/>
    <n v="19.68"/>
    <x v="3"/>
  </r>
  <r>
    <x v="0"/>
    <s v="豊島区"/>
    <x v="17"/>
    <x v="9"/>
    <n v="1279"/>
    <n v="12.99"/>
    <n v="551"/>
    <n v="17.559999999999999"/>
    <n v="721"/>
    <n v="10.78"/>
    <x v="1"/>
  </r>
  <r>
    <x v="0"/>
    <s v="豊島区"/>
    <x v="17"/>
    <x v="10"/>
    <n v="1126"/>
    <n v="11.44"/>
    <n v="699"/>
    <n v="22.28"/>
    <n v="427"/>
    <n v="6.38"/>
    <x v="0"/>
  </r>
  <r>
    <x v="0"/>
    <s v="豊島区"/>
    <x v="17"/>
    <x v="11"/>
    <n v="820"/>
    <n v="8.33"/>
    <n v="467"/>
    <n v="14.88"/>
    <n v="351"/>
    <n v="5.25"/>
    <x v="3"/>
  </r>
  <r>
    <x v="0"/>
    <s v="豊島区"/>
    <x v="17"/>
    <x v="12"/>
    <n v="294"/>
    <n v="2.99"/>
    <n v="132"/>
    <n v="4.21"/>
    <n v="161"/>
    <n v="2.41"/>
    <x v="21"/>
  </r>
  <r>
    <x v="0"/>
    <s v="豊島区"/>
    <x v="17"/>
    <x v="13"/>
    <n v="517"/>
    <n v="5.25"/>
    <n v="346"/>
    <n v="11.03"/>
    <n v="168"/>
    <n v="2.5099999999999998"/>
    <x v="5"/>
  </r>
  <r>
    <x v="0"/>
    <s v="豊島区"/>
    <x v="17"/>
    <x v="14"/>
    <n v="348"/>
    <n v="3.53"/>
    <n v="19"/>
    <n v="0.61"/>
    <n v="325"/>
    <n v="4.8600000000000003"/>
    <x v="13"/>
  </r>
  <r>
    <x v="0"/>
    <s v="北区"/>
    <x v="18"/>
    <x v="0"/>
    <n v="0"/>
    <n v="0"/>
    <n v="0"/>
    <n v="0"/>
    <n v="0"/>
    <n v="0"/>
    <x v="0"/>
  </r>
  <r>
    <x v="0"/>
    <s v="北区"/>
    <x v="18"/>
    <x v="1"/>
    <n v="722"/>
    <n v="10.130000000000001"/>
    <n v="88"/>
    <n v="2.9"/>
    <n v="634"/>
    <n v="15.54"/>
    <x v="0"/>
  </r>
  <r>
    <x v="0"/>
    <s v="北区"/>
    <x v="18"/>
    <x v="2"/>
    <n v="657"/>
    <n v="9.2200000000000006"/>
    <n v="133"/>
    <n v="4.3899999999999997"/>
    <n v="524"/>
    <n v="12.85"/>
    <x v="0"/>
  </r>
  <r>
    <x v="0"/>
    <s v="北区"/>
    <x v="18"/>
    <x v="3"/>
    <n v="1"/>
    <n v="0.01"/>
    <n v="0"/>
    <n v="0"/>
    <n v="1"/>
    <n v="0.02"/>
    <x v="0"/>
  </r>
  <r>
    <x v="0"/>
    <s v="北区"/>
    <x v="18"/>
    <x v="4"/>
    <n v="136"/>
    <n v="1.91"/>
    <n v="6"/>
    <n v="0.2"/>
    <n v="130"/>
    <n v="3.19"/>
    <x v="0"/>
  </r>
  <r>
    <x v="0"/>
    <s v="北区"/>
    <x v="18"/>
    <x v="5"/>
    <n v="101"/>
    <n v="1.42"/>
    <n v="58"/>
    <n v="1.91"/>
    <n v="43"/>
    <n v="1.05"/>
    <x v="0"/>
  </r>
  <r>
    <x v="0"/>
    <s v="北区"/>
    <x v="18"/>
    <x v="6"/>
    <n v="1448"/>
    <n v="20.329999999999998"/>
    <n v="574"/>
    <n v="18.93"/>
    <n v="873"/>
    <n v="21.4"/>
    <x v="21"/>
  </r>
  <r>
    <x v="0"/>
    <s v="北区"/>
    <x v="18"/>
    <x v="7"/>
    <n v="45"/>
    <n v="0.63"/>
    <n v="3"/>
    <n v="0.1"/>
    <n v="42"/>
    <n v="1.03"/>
    <x v="0"/>
  </r>
  <r>
    <x v="0"/>
    <s v="北区"/>
    <x v="18"/>
    <x v="8"/>
    <n v="1221"/>
    <n v="17.14"/>
    <n v="485"/>
    <n v="16"/>
    <n v="735"/>
    <n v="18.02"/>
    <x v="21"/>
  </r>
  <r>
    <x v="0"/>
    <s v="北区"/>
    <x v="18"/>
    <x v="9"/>
    <n v="456"/>
    <n v="6.4"/>
    <n v="162"/>
    <n v="5.34"/>
    <n v="291"/>
    <n v="7.13"/>
    <x v="21"/>
  </r>
  <r>
    <x v="0"/>
    <s v="北区"/>
    <x v="18"/>
    <x v="10"/>
    <n v="886"/>
    <n v="12.44"/>
    <n v="656"/>
    <n v="21.64"/>
    <n v="229"/>
    <n v="5.61"/>
    <x v="21"/>
  </r>
  <r>
    <x v="0"/>
    <s v="北区"/>
    <x v="18"/>
    <x v="11"/>
    <n v="705"/>
    <n v="9.9"/>
    <n v="469"/>
    <n v="15.47"/>
    <n v="235"/>
    <n v="5.76"/>
    <x v="21"/>
  </r>
  <r>
    <x v="0"/>
    <s v="北区"/>
    <x v="18"/>
    <x v="12"/>
    <n v="175"/>
    <n v="2.46"/>
    <n v="110"/>
    <n v="3.63"/>
    <n v="64"/>
    <n v="1.57"/>
    <x v="21"/>
  </r>
  <r>
    <x v="0"/>
    <s v="北区"/>
    <x v="18"/>
    <x v="13"/>
    <n v="377"/>
    <n v="5.29"/>
    <n v="260"/>
    <n v="8.58"/>
    <n v="116"/>
    <n v="2.84"/>
    <x v="0"/>
  </r>
  <r>
    <x v="0"/>
    <s v="北区"/>
    <x v="18"/>
    <x v="14"/>
    <n v="194"/>
    <n v="2.72"/>
    <n v="28"/>
    <n v="0.92"/>
    <n v="162"/>
    <n v="3.97"/>
    <x v="3"/>
  </r>
  <r>
    <x v="0"/>
    <s v="荒川区"/>
    <x v="19"/>
    <x v="0"/>
    <n v="0"/>
    <n v="0"/>
    <n v="0"/>
    <n v="0"/>
    <n v="0"/>
    <n v="0"/>
    <x v="0"/>
  </r>
  <r>
    <x v="0"/>
    <s v="荒川区"/>
    <x v="19"/>
    <x v="1"/>
    <n v="495"/>
    <n v="9.23"/>
    <n v="74"/>
    <n v="3.3"/>
    <n v="421"/>
    <n v="13.53"/>
    <x v="0"/>
  </r>
  <r>
    <x v="0"/>
    <s v="荒川区"/>
    <x v="19"/>
    <x v="2"/>
    <n v="1099"/>
    <n v="20.49"/>
    <n v="326"/>
    <n v="14.55"/>
    <n v="773"/>
    <n v="24.84"/>
    <x v="0"/>
  </r>
  <r>
    <x v="0"/>
    <s v="荒川区"/>
    <x v="19"/>
    <x v="3"/>
    <n v="3"/>
    <n v="0.06"/>
    <n v="0"/>
    <n v="0"/>
    <n v="3"/>
    <n v="0.1"/>
    <x v="0"/>
  </r>
  <r>
    <x v="0"/>
    <s v="荒川区"/>
    <x v="19"/>
    <x v="4"/>
    <n v="77"/>
    <n v="1.44"/>
    <n v="2"/>
    <n v="0.09"/>
    <n v="75"/>
    <n v="2.41"/>
    <x v="0"/>
  </r>
  <r>
    <x v="0"/>
    <s v="荒川区"/>
    <x v="19"/>
    <x v="5"/>
    <n v="66"/>
    <n v="1.23"/>
    <n v="31"/>
    <n v="1.38"/>
    <n v="35"/>
    <n v="1.1200000000000001"/>
    <x v="0"/>
  </r>
  <r>
    <x v="0"/>
    <s v="荒川区"/>
    <x v="19"/>
    <x v="6"/>
    <n v="1246"/>
    <n v="23.23"/>
    <n v="485"/>
    <n v="21.65"/>
    <n v="761"/>
    <n v="24.45"/>
    <x v="0"/>
  </r>
  <r>
    <x v="0"/>
    <s v="荒川区"/>
    <x v="19"/>
    <x v="7"/>
    <n v="14"/>
    <n v="0.26"/>
    <n v="3"/>
    <n v="0.13"/>
    <n v="11"/>
    <n v="0.35"/>
    <x v="0"/>
  </r>
  <r>
    <x v="0"/>
    <s v="荒川区"/>
    <x v="19"/>
    <x v="8"/>
    <n v="616"/>
    <n v="11.49"/>
    <n v="253"/>
    <n v="11.29"/>
    <n v="362"/>
    <n v="11.63"/>
    <x v="21"/>
  </r>
  <r>
    <x v="0"/>
    <s v="荒川区"/>
    <x v="19"/>
    <x v="9"/>
    <n v="250"/>
    <n v="4.66"/>
    <n v="110"/>
    <n v="4.91"/>
    <n v="138"/>
    <n v="4.43"/>
    <x v="0"/>
  </r>
  <r>
    <x v="0"/>
    <s v="荒川区"/>
    <x v="19"/>
    <x v="10"/>
    <n v="606"/>
    <n v="11.3"/>
    <n v="460"/>
    <n v="20.54"/>
    <n v="146"/>
    <n v="4.6900000000000004"/>
    <x v="0"/>
  </r>
  <r>
    <x v="0"/>
    <s v="荒川区"/>
    <x v="19"/>
    <x v="11"/>
    <n v="449"/>
    <n v="8.3699999999999992"/>
    <n v="300"/>
    <n v="13.39"/>
    <n v="148"/>
    <n v="4.76"/>
    <x v="0"/>
  </r>
  <r>
    <x v="0"/>
    <s v="荒川区"/>
    <x v="19"/>
    <x v="12"/>
    <n v="104"/>
    <n v="1.94"/>
    <n v="62"/>
    <n v="2.77"/>
    <n v="40"/>
    <n v="1.29"/>
    <x v="3"/>
  </r>
  <r>
    <x v="0"/>
    <s v="荒川区"/>
    <x v="19"/>
    <x v="13"/>
    <n v="213"/>
    <n v="3.97"/>
    <n v="114"/>
    <n v="5.09"/>
    <n v="99"/>
    <n v="3.18"/>
    <x v="0"/>
  </r>
  <r>
    <x v="0"/>
    <s v="荒川区"/>
    <x v="19"/>
    <x v="14"/>
    <n v="125"/>
    <n v="2.33"/>
    <n v="20"/>
    <n v="0.89"/>
    <n v="100"/>
    <n v="3.21"/>
    <x v="5"/>
  </r>
  <r>
    <x v="0"/>
    <s v="板橋区"/>
    <x v="20"/>
    <x v="0"/>
    <n v="0"/>
    <n v="0"/>
    <n v="0"/>
    <n v="0"/>
    <n v="0"/>
    <n v="0"/>
    <x v="0"/>
  </r>
  <r>
    <x v="0"/>
    <s v="板橋区"/>
    <x v="20"/>
    <x v="1"/>
    <n v="1327"/>
    <n v="12.74"/>
    <n v="152"/>
    <n v="3.76"/>
    <n v="1175"/>
    <n v="18.52"/>
    <x v="0"/>
  </r>
  <r>
    <x v="0"/>
    <s v="板橋区"/>
    <x v="20"/>
    <x v="2"/>
    <n v="1195"/>
    <n v="11.47"/>
    <n v="239"/>
    <n v="5.91"/>
    <n v="956"/>
    <n v="15.07"/>
    <x v="0"/>
  </r>
  <r>
    <x v="0"/>
    <s v="板橋区"/>
    <x v="20"/>
    <x v="3"/>
    <n v="5"/>
    <n v="0.05"/>
    <n v="0"/>
    <n v="0"/>
    <n v="5"/>
    <n v="0.08"/>
    <x v="0"/>
  </r>
  <r>
    <x v="0"/>
    <s v="板橋区"/>
    <x v="20"/>
    <x v="4"/>
    <n v="245"/>
    <n v="2.35"/>
    <n v="8"/>
    <n v="0.2"/>
    <n v="237"/>
    <n v="3.74"/>
    <x v="0"/>
  </r>
  <r>
    <x v="0"/>
    <s v="板橋区"/>
    <x v="20"/>
    <x v="5"/>
    <n v="219"/>
    <n v="2.1"/>
    <n v="128"/>
    <n v="3.16"/>
    <n v="90"/>
    <n v="1.42"/>
    <x v="0"/>
  </r>
  <r>
    <x v="0"/>
    <s v="板橋区"/>
    <x v="20"/>
    <x v="6"/>
    <n v="1967"/>
    <n v="18.88"/>
    <n v="681"/>
    <n v="16.84"/>
    <n v="1286"/>
    <n v="20.27"/>
    <x v="0"/>
  </r>
  <r>
    <x v="0"/>
    <s v="板橋区"/>
    <x v="20"/>
    <x v="7"/>
    <n v="49"/>
    <n v="0.47"/>
    <n v="5"/>
    <n v="0.12"/>
    <n v="44"/>
    <n v="0.69"/>
    <x v="0"/>
  </r>
  <r>
    <x v="0"/>
    <s v="板橋区"/>
    <x v="20"/>
    <x v="8"/>
    <n v="1339"/>
    <n v="12.86"/>
    <n v="326"/>
    <n v="8.06"/>
    <n v="1010"/>
    <n v="15.92"/>
    <x v="3"/>
  </r>
  <r>
    <x v="0"/>
    <s v="板橋区"/>
    <x v="20"/>
    <x v="9"/>
    <n v="622"/>
    <n v="5.97"/>
    <n v="245"/>
    <n v="6.06"/>
    <n v="375"/>
    <n v="5.91"/>
    <x v="21"/>
  </r>
  <r>
    <x v="0"/>
    <s v="板橋区"/>
    <x v="20"/>
    <x v="10"/>
    <n v="1196"/>
    <n v="11.48"/>
    <n v="900"/>
    <n v="22.25"/>
    <n v="295"/>
    <n v="4.6500000000000004"/>
    <x v="0"/>
  </r>
  <r>
    <x v="0"/>
    <s v="板橋区"/>
    <x v="20"/>
    <x v="11"/>
    <n v="1050"/>
    <n v="10.08"/>
    <n v="708"/>
    <n v="17.5"/>
    <n v="342"/>
    <n v="5.39"/>
    <x v="0"/>
  </r>
  <r>
    <x v="0"/>
    <s v="板橋区"/>
    <x v="20"/>
    <x v="12"/>
    <n v="325"/>
    <n v="3.12"/>
    <n v="213"/>
    <n v="5.27"/>
    <n v="107"/>
    <n v="1.69"/>
    <x v="21"/>
  </r>
  <r>
    <x v="0"/>
    <s v="板橋区"/>
    <x v="20"/>
    <x v="13"/>
    <n v="543"/>
    <n v="5.21"/>
    <n v="389"/>
    <n v="9.6199999999999992"/>
    <n v="144"/>
    <n v="2.27"/>
    <x v="3"/>
  </r>
  <r>
    <x v="0"/>
    <s v="板橋区"/>
    <x v="20"/>
    <x v="14"/>
    <n v="334"/>
    <n v="3.21"/>
    <n v="51"/>
    <n v="1.26"/>
    <n v="279"/>
    <n v="4.4000000000000004"/>
    <x v="21"/>
  </r>
  <r>
    <x v="0"/>
    <s v="練馬区"/>
    <x v="21"/>
    <x v="0"/>
    <n v="0"/>
    <n v="0"/>
    <n v="0"/>
    <n v="0"/>
    <n v="0"/>
    <n v="0"/>
    <x v="0"/>
  </r>
  <r>
    <x v="0"/>
    <s v="練馬区"/>
    <x v="21"/>
    <x v="1"/>
    <n v="2014"/>
    <n v="15.88"/>
    <n v="246"/>
    <n v="5.19"/>
    <n v="1768"/>
    <n v="22.35"/>
    <x v="0"/>
  </r>
  <r>
    <x v="0"/>
    <s v="練馬区"/>
    <x v="21"/>
    <x v="2"/>
    <n v="621"/>
    <n v="4.9000000000000004"/>
    <n v="145"/>
    <n v="3.06"/>
    <n v="476"/>
    <n v="6.02"/>
    <x v="0"/>
  </r>
  <r>
    <x v="0"/>
    <s v="練馬区"/>
    <x v="21"/>
    <x v="3"/>
    <n v="4"/>
    <n v="0.03"/>
    <n v="0"/>
    <n v="0"/>
    <n v="3"/>
    <n v="0.04"/>
    <x v="21"/>
  </r>
  <r>
    <x v="0"/>
    <s v="練馬区"/>
    <x v="21"/>
    <x v="4"/>
    <n v="404"/>
    <n v="3.19"/>
    <n v="11"/>
    <n v="0.23"/>
    <n v="393"/>
    <n v="4.97"/>
    <x v="0"/>
  </r>
  <r>
    <x v="0"/>
    <s v="練馬区"/>
    <x v="21"/>
    <x v="5"/>
    <n v="276"/>
    <n v="2.1800000000000002"/>
    <n v="207"/>
    <n v="4.37"/>
    <n v="69"/>
    <n v="0.87"/>
    <x v="0"/>
  </r>
  <r>
    <x v="0"/>
    <s v="練馬区"/>
    <x v="21"/>
    <x v="6"/>
    <n v="2178"/>
    <n v="17.170000000000002"/>
    <n v="783"/>
    <n v="16.510000000000002"/>
    <n v="1394"/>
    <n v="17.62"/>
    <x v="21"/>
  </r>
  <r>
    <x v="0"/>
    <s v="練馬区"/>
    <x v="21"/>
    <x v="7"/>
    <n v="52"/>
    <n v="0.41"/>
    <n v="5"/>
    <n v="0.11"/>
    <n v="47"/>
    <n v="0.59"/>
    <x v="0"/>
  </r>
  <r>
    <x v="0"/>
    <s v="練馬区"/>
    <x v="21"/>
    <x v="8"/>
    <n v="1969"/>
    <n v="15.52"/>
    <n v="400"/>
    <n v="8.44"/>
    <n v="1567"/>
    <n v="19.809999999999999"/>
    <x v="0"/>
  </r>
  <r>
    <x v="0"/>
    <s v="練馬区"/>
    <x v="21"/>
    <x v="9"/>
    <n v="980"/>
    <n v="7.73"/>
    <n v="331"/>
    <n v="6.98"/>
    <n v="649"/>
    <n v="8.1999999999999993"/>
    <x v="0"/>
  </r>
  <r>
    <x v="0"/>
    <s v="練馬区"/>
    <x v="21"/>
    <x v="10"/>
    <n v="1134"/>
    <n v="8.94"/>
    <n v="837"/>
    <n v="17.649999999999999"/>
    <n v="296"/>
    <n v="3.74"/>
    <x v="0"/>
  </r>
  <r>
    <x v="0"/>
    <s v="練馬区"/>
    <x v="21"/>
    <x v="11"/>
    <n v="1327"/>
    <n v="10.46"/>
    <n v="876"/>
    <n v="18.47"/>
    <n v="450"/>
    <n v="5.69"/>
    <x v="0"/>
  </r>
  <r>
    <x v="0"/>
    <s v="練馬区"/>
    <x v="21"/>
    <x v="12"/>
    <n v="538"/>
    <n v="4.24"/>
    <n v="342"/>
    <n v="7.21"/>
    <n v="178"/>
    <n v="2.25"/>
    <x v="21"/>
  </r>
  <r>
    <x v="0"/>
    <s v="練馬区"/>
    <x v="21"/>
    <x v="13"/>
    <n v="767"/>
    <n v="6.05"/>
    <n v="499"/>
    <n v="10.52"/>
    <n v="267"/>
    <n v="3.37"/>
    <x v="0"/>
  </r>
  <r>
    <x v="0"/>
    <s v="練馬区"/>
    <x v="21"/>
    <x v="14"/>
    <n v="419"/>
    <n v="3.3"/>
    <n v="60"/>
    <n v="1.27"/>
    <n v="355"/>
    <n v="4.49"/>
    <x v="5"/>
  </r>
  <r>
    <x v="0"/>
    <s v="足立区"/>
    <x v="22"/>
    <x v="0"/>
    <n v="0"/>
    <n v="0"/>
    <n v="0"/>
    <n v="0"/>
    <n v="0"/>
    <n v="0"/>
    <x v="0"/>
  </r>
  <r>
    <x v="0"/>
    <s v="足立区"/>
    <x v="22"/>
    <x v="1"/>
    <n v="2164"/>
    <n v="15.23"/>
    <n v="337"/>
    <n v="5.56"/>
    <n v="1826"/>
    <n v="22.45"/>
    <x v="21"/>
  </r>
  <r>
    <x v="0"/>
    <s v="足立区"/>
    <x v="22"/>
    <x v="2"/>
    <n v="2111"/>
    <n v="14.86"/>
    <n v="661"/>
    <n v="10.9"/>
    <n v="1450"/>
    <n v="17.829999999999998"/>
    <x v="0"/>
  </r>
  <r>
    <x v="0"/>
    <s v="足立区"/>
    <x v="22"/>
    <x v="3"/>
    <n v="2"/>
    <n v="0.01"/>
    <n v="0"/>
    <n v="0"/>
    <n v="2"/>
    <n v="0.02"/>
    <x v="0"/>
  </r>
  <r>
    <x v="0"/>
    <s v="足立区"/>
    <x v="22"/>
    <x v="4"/>
    <n v="155"/>
    <n v="1.0900000000000001"/>
    <n v="7"/>
    <n v="0.12"/>
    <n v="148"/>
    <n v="1.82"/>
    <x v="0"/>
  </r>
  <r>
    <x v="0"/>
    <s v="足立区"/>
    <x v="22"/>
    <x v="5"/>
    <n v="505"/>
    <n v="3.55"/>
    <n v="382"/>
    <n v="6.3"/>
    <n v="123"/>
    <n v="1.51"/>
    <x v="0"/>
  </r>
  <r>
    <x v="0"/>
    <s v="足立区"/>
    <x v="22"/>
    <x v="6"/>
    <n v="2914"/>
    <n v="20.51"/>
    <n v="1138"/>
    <n v="18.77"/>
    <n v="1775"/>
    <n v="21.82"/>
    <x v="21"/>
  </r>
  <r>
    <x v="0"/>
    <s v="足立区"/>
    <x v="22"/>
    <x v="7"/>
    <n v="57"/>
    <n v="0.4"/>
    <n v="5"/>
    <n v="0.08"/>
    <n v="52"/>
    <n v="0.64"/>
    <x v="0"/>
  </r>
  <r>
    <x v="0"/>
    <s v="足立区"/>
    <x v="22"/>
    <x v="8"/>
    <n v="1645"/>
    <n v="11.58"/>
    <n v="531"/>
    <n v="8.76"/>
    <n v="1114"/>
    <n v="13.7"/>
    <x v="0"/>
  </r>
  <r>
    <x v="0"/>
    <s v="足立区"/>
    <x v="22"/>
    <x v="9"/>
    <n v="595"/>
    <n v="4.1900000000000004"/>
    <n v="259"/>
    <n v="4.2699999999999996"/>
    <n v="335"/>
    <n v="4.12"/>
    <x v="0"/>
  </r>
  <r>
    <x v="0"/>
    <s v="足立区"/>
    <x v="22"/>
    <x v="10"/>
    <n v="1422"/>
    <n v="10.01"/>
    <n v="1140"/>
    <n v="18.8"/>
    <n v="281"/>
    <n v="3.46"/>
    <x v="21"/>
  </r>
  <r>
    <x v="0"/>
    <s v="足立区"/>
    <x v="22"/>
    <x v="11"/>
    <n v="1332"/>
    <n v="9.3699999999999992"/>
    <n v="952"/>
    <n v="15.7"/>
    <n v="378"/>
    <n v="4.6500000000000004"/>
    <x v="3"/>
  </r>
  <r>
    <x v="0"/>
    <s v="足立区"/>
    <x v="22"/>
    <x v="12"/>
    <n v="282"/>
    <n v="1.98"/>
    <n v="193"/>
    <n v="3.18"/>
    <n v="88"/>
    <n v="1.08"/>
    <x v="0"/>
  </r>
  <r>
    <x v="0"/>
    <s v="足立区"/>
    <x v="22"/>
    <x v="13"/>
    <n v="576"/>
    <n v="4.05"/>
    <n v="386"/>
    <n v="6.37"/>
    <n v="185"/>
    <n v="2.27"/>
    <x v="0"/>
  </r>
  <r>
    <x v="0"/>
    <s v="足立区"/>
    <x v="22"/>
    <x v="14"/>
    <n v="449"/>
    <n v="3.16"/>
    <n v="72"/>
    <n v="1.19"/>
    <n v="376"/>
    <n v="4.62"/>
    <x v="21"/>
  </r>
  <r>
    <x v="0"/>
    <s v="葛飾区"/>
    <x v="23"/>
    <x v="0"/>
    <n v="1"/>
    <n v="0.01"/>
    <n v="0"/>
    <n v="0"/>
    <n v="1"/>
    <n v="0.02"/>
    <x v="0"/>
  </r>
  <r>
    <x v="0"/>
    <s v="葛飾区"/>
    <x v="23"/>
    <x v="1"/>
    <n v="1072"/>
    <n v="10.62"/>
    <n v="133"/>
    <n v="3.07"/>
    <n v="939"/>
    <n v="16.399999999999999"/>
    <x v="0"/>
  </r>
  <r>
    <x v="0"/>
    <s v="葛飾区"/>
    <x v="23"/>
    <x v="2"/>
    <n v="1963"/>
    <n v="19.45"/>
    <n v="661"/>
    <n v="15.23"/>
    <n v="1302"/>
    <n v="22.73"/>
    <x v="0"/>
  </r>
  <r>
    <x v="0"/>
    <s v="葛飾区"/>
    <x v="23"/>
    <x v="3"/>
    <n v="3"/>
    <n v="0.03"/>
    <n v="0"/>
    <n v="0"/>
    <n v="3"/>
    <n v="0.05"/>
    <x v="0"/>
  </r>
  <r>
    <x v="0"/>
    <s v="葛飾区"/>
    <x v="23"/>
    <x v="4"/>
    <n v="107"/>
    <n v="1.06"/>
    <n v="1"/>
    <n v="0.02"/>
    <n v="106"/>
    <n v="1.85"/>
    <x v="0"/>
  </r>
  <r>
    <x v="0"/>
    <s v="葛飾区"/>
    <x v="23"/>
    <x v="5"/>
    <n v="155"/>
    <n v="1.54"/>
    <n v="94"/>
    <n v="2.17"/>
    <n v="61"/>
    <n v="1.07"/>
    <x v="0"/>
  </r>
  <r>
    <x v="0"/>
    <s v="葛飾区"/>
    <x v="23"/>
    <x v="6"/>
    <n v="1974"/>
    <n v="19.559999999999999"/>
    <n v="729"/>
    <n v="16.8"/>
    <n v="1244"/>
    <n v="21.72"/>
    <x v="21"/>
  </r>
  <r>
    <x v="0"/>
    <s v="葛飾区"/>
    <x v="23"/>
    <x v="7"/>
    <n v="37"/>
    <n v="0.37"/>
    <n v="4"/>
    <n v="0.09"/>
    <n v="33"/>
    <n v="0.57999999999999996"/>
    <x v="0"/>
  </r>
  <r>
    <x v="0"/>
    <s v="葛飾区"/>
    <x v="23"/>
    <x v="8"/>
    <n v="1324"/>
    <n v="13.12"/>
    <n v="499"/>
    <n v="11.5"/>
    <n v="823"/>
    <n v="14.37"/>
    <x v="3"/>
  </r>
  <r>
    <x v="0"/>
    <s v="葛飾区"/>
    <x v="23"/>
    <x v="9"/>
    <n v="421"/>
    <n v="4.17"/>
    <n v="159"/>
    <n v="3.66"/>
    <n v="260"/>
    <n v="4.54"/>
    <x v="0"/>
  </r>
  <r>
    <x v="0"/>
    <s v="葛飾区"/>
    <x v="23"/>
    <x v="10"/>
    <n v="1124"/>
    <n v="11.14"/>
    <n v="897"/>
    <n v="20.67"/>
    <n v="227"/>
    <n v="3.96"/>
    <x v="0"/>
  </r>
  <r>
    <x v="0"/>
    <s v="葛飾区"/>
    <x v="23"/>
    <x v="11"/>
    <n v="986"/>
    <n v="9.77"/>
    <n v="707"/>
    <n v="16.29"/>
    <n v="277"/>
    <n v="4.84"/>
    <x v="21"/>
  </r>
  <r>
    <x v="0"/>
    <s v="葛飾区"/>
    <x v="23"/>
    <x v="12"/>
    <n v="220"/>
    <n v="2.1800000000000002"/>
    <n v="138"/>
    <n v="3.18"/>
    <n v="81"/>
    <n v="1.41"/>
    <x v="21"/>
  </r>
  <r>
    <x v="0"/>
    <s v="葛飾区"/>
    <x v="23"/>
    <x v="13"/>
    <n v="472"/>
    <n v="4.68"/>
    <n v="270"/>
    <n v="6.22"/>
    <n v="184"/>
    <n v="3.21"/>
    <x v="0"/>
  </r>
  <r>
    <x v="0"/>
    <s v="葛飾区"/>
    <x v="23"/>
    <x v="14"/>
    <n v="235"/>
    <n v="2.33"/>
    <n v="47"/>
    <n v="1.08"/>
    <n v="186"/>
    <n v="3.25"/>
    <x v="3"/>
  </r>
  <r>
    <x v="0"/>
    <s v="江戸川区"/>
    <x v="24"/>
    <x v="0"/>
    <n v="0"/>
    <n v="0"/>
    <n v="0"/>
    <n v="0"/>
    <n v="0"/>
    <n v="0"/>
    <x v="0"/>
  </r>
  <r>
    <x v="0"/>
    <s v="江戸川区"/>
    <x v="24"/>
    <x v="1"/>
    <n v="1789"/>
    <n v="14.88"/>
    <n v="180"/>
    <n v="4.25"/>
    <n v="1609"/>
    <n v="20.7"/>
    <x v="0"/>
  </r>
  <r>
    <x v="0"/>
    <s v="江戸川区"/>
    <x v="24"/>
    <x v="2"/>
    <n v="1804"/>
    <n v="15.01"/>
    <n v="463"/>
    <n v="10.92"/>
    <n v="1341"/>
    <n v="17.25"/>
    <x v="0"/>
  </r>
  <r>
    <x v="0"/>
    <s v="江戸川区"/>
    <x v="24"/>
    <x v="3"/>
    <n v="6"/>
    <n v="0.05"/>
    <n v="0"/>
    <n v="0"/>
    <n v="6"/>
    <n v="0.08"/>
    <x v="0"/>
  </r>
  <r>
    <x v="0"/>
    <s v="江戸川区"/>
    <x v="24"/>
    <x v="4"/>
    <n v="166"/>
    <n v="1.38"/>
    <n v="1"/>
    <n v="0.02"/>
    <n v="165"/>
    <n v="2.12"/>
    <x v="0"/>
  </r>
  <r>
    <x v="0"/>
    <s v="江戸川区"/>
    <x v="24"/>
    <x v="5"/>
    <n v="387"/>
    <n v="3.22"/>
    <n v="231"/>
    <n v="5.45"/>
    <n v="156"/>
    <n v="2.0099999999999998"/>
    <x v="0"/>
  </r>
  <r>
    <x v="0"/>
    <s v="江戸川区"/>
    <x v="24"/>
    <x v="6"/>
    <n v="2319"/>
    <n v="19.29"/>
    <n v="743"/>
    <n v="17.52"/>
    <n v="1576"/>
    <n v="20.28"/>
    <x v="0"/>
  </r>
  <r>
    <x v="0"/>
    <s v="江戸川区"/>
    <x v="24"/>
    <x v="7"/>
    <n v="55"/>
    <n v="0.46"/>
    <n v="2"/>
    <n v="0.05"/>
    <n v="53"/>
    <n v="0.68"/>
    <x v="0"/>
  </r>
  <r>
    <x v="0"/>
    <s v="江戸川区"/>
    <x v="24"/>
    <x v="8"/>
    <n v="1581"/>
    <n v="13.15"/>
    <n v="302"/>
    <n v="7.12"/>
    <n v="1279"/>
    <n v="16.46"/>
    <x v="0"/>
  </r>
  <r>
    <x v="0"/>
    <s v="江戸川区"/>
    <x v="24"/>
    <x v="9"/>
    <n v="499"/>
    <n v="4.1500000000000004"/>
    <n v="156"/>
    <n v="3.68"/>
    <n v="338"/>
    <n v="4.3499999999999996"/>
    <x v="0"/>
  </r>
  <r>
    <x v="0"/>
    <s v="江戸川区"/>
    <x v="24"/>
    <x v="10"/>
    <n v="999"/>
    <n v="8.31"/>
    <n v="744"/>
    <n v="17.55"/>
    <n v="255"/>
    <n v="3.28"/>
    <x v="0"/>
  </r>
  <r>
    <x v="0"/>
    <s v="江戸川区"/>
    <x v="24"/>
    <x v="11"/>
    <n v="1199"/>
    <n v="9.98"/>
    <n v="847"/>
    <n v="19.98"/>
    <n v="350"/>
    <n v="4.5"/>
    <x v="0"/>
  </r>
  <r>
    <x v="0"/>
    <s v="江戸川区"/>
    <x v="24"/>
    <x v="12"/>
    <n v="266"/>
    <n v="2.21"/>
    <n v="148"/>
    <n v="3.49"/>
    <n v="117"/>
    <n v="1.51"/>
    <x v="0"/>
  </r>
  <r>
    <x v="0"/>
    <s v="江戸川区"/>
    <x v="24"/>
    <x v="13"/>
    <n v="511"/>
    <n v="4.25"/>
    <n v="329"/>
    <n v="7.76"/>
    <n v="182"/>
    <n v="2.34"/>
    <x v="0"/>
  </r>
  <r>
    <x v="0"/>
    <s v="江戸川区"/>
    <x v="24"/>
    <x v="14"/>
    <n v="439"/>
    <n v="3.65"/>
    <n v="94"/>
    <n v="2.2200000000000002"/>
    <n v="345"/>
    <n v="4.4400000000000004"/>
    <x v="0"/>
  </r>
  <r>
    <x v="0"/>
    <s v="境界未定地域"/>
    <x v="25"/>
    <x v="0"/>
    <n v="0"/>
    <n v="0"/>
    <n v="0"/>
    <n v="0"/>
    <n v="0"/>
    <n v="0"/>
    <x v="0"/>
  </r>
  <r>
    <x v="0"/>
    <s v="境界未定地域"/>
    <x v="25"/>
    <x v="1"/>
    <n v="2"/>
    <n v="1.49"/>
    <n v="0"/>
    <n v="0"/>
    <n v="2"/>
    <n v="1.89"/>
    <x v="0"/>
  </r>
  <r>
    <x v="0"/>
    <s v="境界未定地域"/>
    <x v="25"/>
    <x v="2"/>
    <n v="3"/>
    <n v="2.2400000000000002"/>
    <n v="0"/>
    <n v="0"/>
    <n v="3"/>
    <n v="2.83"/>
    <x v="0"/>
  </r>
  <r>
    <x v="0"/>
    <s v="境界未定地域"/>
    <x v="25"/>
    <x v="3"/>
    <n v="0"/>
    <n v="0"/>
    <n v="0"/>
    <n v="0"/>
    <n v="0"/>
    <n v="0"/>
    <x v="0"/>
  </r>
  <r>
    <x v="0"/>
    <s v="境界未定地域"/>
    <x v="25"/>
    <x v="4"/>
    <n v="3"/>
    <n v="2.2400000000000002"/>
    <n v="0"/>
    <n v="0"/>
    <n v="3"/>
    <n v="2.83"/>
    <x v="0"/>
  </r>
  <r>
    <x v="0"/>
    <s v="境界未定地域"/>
    <x v="25"/>
    <x v="5"/>
    <n v="1"/>
    <n v="0.75"/>
    <n v="0"/>
    <n v="0"/>
    <n v="1"/>
    <n v="0.94"/>
    <x v="0"/>
  </r>
  <r>
    <x v="0"/>
    <s v="境界未定地域"/>
    <x v="25"/>
    <x v="6"/>
    <n v="64"/>
    <n v="47.76"/>
    <n v="14"/>
    <n v="50"/>
    <n v="50"/>
    <n v="47.17"/>
    <x v="0"/>
  </r>
  <r>
    <x v="0"/>
    <s v="境界未定地域"/>
    <x v="25"/>
    <x v="7"/>
    <n v="2"/>
    <n v="1.49"/>
    <n v="0"/>
    <n v="0"/>
    <n v="2"/>
    <n v="1.89"/>
    <x v="0"/>
  </r>
  <r>
    <x v="0"/>
    <s v="境界未定地域"/>
    <x v="25"/>
    <x v="8"/>
    <n v="5"/>
    <n v="3.73"/>
    <n v="0"/>
    <n v="0"/>
    <n v="5"/>
    <n v="4.72"/>
    <x v="0"/>
  </r>
  <r>
    <x v="0"/>
    <s v="境界未定地域"/>
    <x v="25"/>
    <x v="9"/>
    <n v="3"/>
    <n v="2.2400000000000002"/>
    <n v="0"/>
    <n v="0"/>
    <n v="3"/>
    <n v="2.83"/>
    <x v="0"/>
  </r>
  <r>
    <x v="0"/>
    <s v="境界未定地域"/>
    <x v="25"/>
    <x v="10"/>
    <n v="31"/>
    <n v="23.13"/>
    <n v="12"/>
    <n v="42.86"/>
    <n v="19"/>
    <n v="17.920000000000002"/>
    <x v="0"/>
  </r>
  <r>
    <x v="0"/>
    <s v="境界未定地域"/>
    <x v="25"/>
    <x v="11"/>
    <n v="13"/>
    <n v="9.6999999999999993"/>
    <n v="2"/>
    <n v="7.14"/>
    <n v="11"/>
    <n v="10.38"/>
    <x v="0"/>
  </r>
  <r>
    <x v="0"/>
    <s v="境界未定地域"/>
    <x v="25"/>
    <x v="12"/>
    <n v="2"/>
    <n v="1.49"/>
    <n v="0"/>
    <n v="0"/>
    <n v="2"/>
    <n v="1.89"/>
    <x v="0"/>
  </r>
  <r>
    <x v="0"/>
    <s v="境界未定地域"/>
    <x v="25"/>
    <x v="13"/>
    <n v="1"/>
    <n v="0.75"/>
    <n v="0"/>
    <n v="0"/>
    <n v="1"/>
    <n v="0.94"/>
    <x v="0"/>
  </r>
  <r>
    <x v="0"/>
    <s v="境界未定地域"/>
    <x v="25"/>
    <x v="14"/>
    <n v="4"/>
    <n v="2.99"/>
    <n v="0"/>
    <n v="0"/>
    <n v="4"/>
    <n v="3.77"/>
    <x v="0"/>
  </r>
  <r>
    <x v="0"/>
    <s v="八王子市"/>
    <x v="26"/>
    <x v="0"/>
    <n v="1"/>
    <n v="0.01"/>
    <n v="0"/>
    <n v="0"/>
    <n v="1"/>
    <n v="0.02"/>
    <x v="0"/>
  </r>
  <r>
    <x v="0"/>
    <s v="八王子市"/>
    <x v="26"/>
    <x v="1"/>
    <n v="1464"/>
    <n v="15.07"/>
    <n v="286"/>
    <n v="7.53"/>
    <n v="1178"/>
    <n v="20.04"/>
    <x v="0"/>
  </r>
  <r>
    <x v="0"/>
    <s v="八王子市"/>
    <x v="26"/>
    <x v="2"/>
    <n v="900"/>
    <n v="9.27"/>
    <n v="204"/>
    <n v="5.37"/>
    <n v="696"/>
    <n v="11.84"/>
    <x v="0"/>
  </r>
  <r>
    <x v="0"/>
    <s v="八王子市"/>
    <x v="26"/>
    <x v="3"/>
    <n v="3"/>
    <n v="0.03"/>
    <n v="0"/>
    <n v="0"/>
    <n v="3"/>
    <n v="0.05"/>
    <x v="0"/>
  </r>
  <r>
    <x v="0"/>
    <s v="八王子市"/>
    <x v="26"/>
    <x v="4"/>
    <n v="185"/>
    <n v="1.9"/>
    <n v="11"/>
    <n v="0.28999999999999998"/>
    <n v="174"/>
    <n v="2.96"/>
    <x v="0"/>
  </r>
  <r>
    <x v="0"/>
    <s v="八王子市"/>
    <x v="26"/>
    <x v="5"/>
    <n v="108"/>
    <n v="1.1100000000000001"/>
    <n v="46"/>
    <n v="1.21"/>
    <n v="62"/>
    <n v="1.05"/>
    <x v="0"/>
  </r>
  <r>
    <x v="0"/>
    <s v="八王子市"/>
    <x v="26"/>
    <x v="6"/>
    <n v="1864"/>
    <n v="19.190000000000001"/>
    <n v="606"/>
    <n v="15.96"/>
    <n v="1256"/>
    <n v="21.36"/>
    <x v="3"/>
  </r>
  <r>
    <x v="0"/>
    <s v="八王子市"/>
    <x v="26"/>
    <x v="7"/>
    <n v="65"/>
    <n v="0.67"/>
    <n v="8"/>
    <n v="0.21"/>
    <n v="57"/>
    <n v="0.97"/>
    <x v="0"/>
  </r>
  <r>
    <x v="0"/>
    <s v="八王子市"/>
    <x v="26"/>
    <x v="8"/>
    <n v="1183"/>
    <n v="12.18"/>
    <n v="298"/>
    <n v="7.85"/>
    <n v="883"/>
    <n v="15.02"/>
    <x v="3"/>
  </r>
  <r>
    <x v="0"/>
    <s v="八王子市"/>
    <x v="26"/>
    <x v="9"/>
    <n v="623"/>
    <n v="6.41"/>
    <n v="232"/>
    <n v="6.11"/>
    <n v="389"/>
    <n v="6.62"/>
    <x v="21"/>
  </r>
  <r>
    <x v="0"/>
    <s v="八王子市"/>
    <x v="26"/>
    <x v="10"/>
    <n v="975"/>
    <n v="10.039999999999999"/>
    <n v="714"/>
    <n v="18.8"/>
    <n v="259"/>
    <n v="4.41"/>
    <x v="0"/>
  </r>
  <r>
    <x v="0"/>
    <s v="八王子市"/>
    <x v="26"/>
    <x v="11"/>
    <n v="1067"/>
    <n v="10.99"/>
    <n v="733"/>
    <n v="19.3"/>
    <n v="324"/>
    <n v="5.51"/>
    <x v="1"/>
  </r>
  <r>
    <x v="0"/>
    <s v="八王子市"/>
    <x v="26"/>
    <x v="12"/>
    <n v="375"/>
    <n v="3.86"/>
    <n v="251"/>
    <n v="6.61"/>
    <n v="118"/>
    <n v="2.0099999999999998"/>
    <x v="21"/>
  </r>
  <r>
    <x v="0"/>
    <s v="八王子市"/>
    <x v="26"/>
    <x v="13"/>
    <n v="523"/>
    <n v="5.39"/>
    <n v="299"/>
    <n v="7.87"/>
    <n v="217"/>
    <n v="3.69"/>
    <x v="3"/>
  </r>
  <r>
    <x v="0"/>
    <s v="八王子市"/>
    <x v="26"/>
    <x v="14"/>
    <n v="376"/>
    <n v="3.87"/>
    <n v="110"/>
    <n v="2.9"/>
    <n v="262"/>
    <n v="4.46"/>
    <x v="3"/>
  </r>
  <r>
    <x v="0"/>
    <s v="立川市"/>
    <x v="27"/>
    <x v="0"/>
    <n v="1"/>
    <n v="0.03"/>
    <n v="0"/>
    <n v="0"/>
    <n v="1"/>
    <n v="0.04"/>
    <x v="0"/>
  </r>
  <r>
    <x v="0"/>
    <s v="立川市"/>
    <x v="27"/>
    <x v="1"/>
    <n v="465"/>
    <n v="12.65"/>
    <n v="57"/>
    <n v="4.54"/>
    <n v="408"/>
    <n v="16.989999999999998"/>
    <x v="0"/>
  </r>
  <r>
    <x v="0"/>
    <s v="立川市"/>
    <x v="27"/>
    <x v="2"/>
    <n v="165"/>
    <n v="4.49"/>
    <n v="34"/>
    <n v="2.71"/>
    <n v="131"/>
    <n v="5.46"/>
    <x v="0"/>
  </r>
  <r>
    <x v="0"/>
    <s v="立川市"/>
    <x v="27"/>
    <x v="3"/>
    <n v="3"/>
    <n v="0.08"/>
    <n v="0"/>
    <n v="0"/>
    <n v="3"/>
    <n v="0.12"/>
    <x v="0"/>
  </r>
  <r>
    <x v="0"/>
    <s v="立川市"/>
    <x v="27"/>
    <x v="4"/>
    <n v="98"/>
    <n v="2.67"/>
    <n v="2"/>
    <n v="0.16"/>
    <n v="96"/>
    <n v="4"/>
    <x v="0"/>
  </r>
  <r>
    <x v="0"/>
    <s v="立川市"/>
    <x v="27"/>
    <x v="5"/>
    <n v="33"/>
    <n v="0.9"/>
    <n v="6"/>
    <n v="0.48"/>
    <n v="27"/>
    <n v="1.1200000000000001"/>
    <x v="0"/>
  </r>
  <r>
    <x v="0"/>
    <s v="立川市"/>
    <x v="27"/>
    <x v="6"/>
    <n v="784"/>
    <n v="21.32"/>
    <n v="193"/>
    <n v="15.38"/>
    <n v="591"/>
    <n v="24.61"/>
    <x v="0"/>
  </r>
  <r>
    <x v="0"/>
    <s v="立川市"/>
    <x v="27"/>
    <x v="7"/>
    <n v="36"/>
    <n v="0.98"/>
    <n v="2"/>
    <n v="0.16"/>
    <n v="34"/>
    <n v="1.42"/>
    <x v="0"/>
  </r>
  <r>
    <x v="0"/>
    <s v="立川市"/>
    <x v="27"/>
    <x v="8"/>
    <n v="501"/>
    <n v="13.63"/>
    <n v="82"/>
    <n v="6.53"/>
    <n v="418"/>
    <n v="17.41"/>
    <x v="0"/>
  </r>
  <r>
    <x v="0"/>
    <s v="立川市"/>
    <x v="27"/>
    <x v="9"/>
    <n v="312"/>
    <n v="8.49"/>
    <n v="153"/>
    <n v="12.19"/>
    <n v="158"/>
    <n v="6.58"/>
    <x v="21"/>
  </r>
  <r>
    <x v="0"/>
    <s v="立川市"/>
    <x v="27"/>
    <x v="10"/>
    <n v="404"/>
    <n v="10.99"/>
    <n v="276"/>
    <n v="21.99"/>
    <n v="128"/>
    <n v="5.33"/>
    <x v="0"/>
  </r>
  <r>
    <x v="0"/>
    <s v="立川市"/>
    <x v="27"/>
    <x v="11"/>
    <n v="373"/>
    <n v="10.14"/>
    <n v="235"/>
    <n v="18.73"/>
    <n v="137"/>
    <n v="5.71"/>
    <x v="21"/>
  </r>
  <r>
    <x v="0"/>
    <s v="立川市"/>
    <x v="27"/>
    <x v="12"/>
    <n v="145"/>
    <n v="3.94"/>
    <n v="76"/>
    <n v="6.06"/>
    <n v="62"/>
    <n v="2.58"/>
    <x v="21"/>
  </r>
  <r>
    <x v="0"/>
    <s v="立川市"/>
    <x v="27"/>
    <x v="13"/>
    <n v="204"/>
    <n v="5.55"/>
    <n v="117"/>
    <n v="9.32"/>
    <n v="82"/>
    <n v="3.42"/>
    <x v="0"/>
  </r>
  <r>
    <x v="0"/>
    <s v="立川市"/>
    <x v="27"/>
    <x v="14"/>
    <n v="153"/>
    <n v="4.16"/>
    <n v="22"/>
    <n v="1.75"/>
    <n v="125"/>
    <n v="5.21"/>
    <x v="1"/>
  </r>
  <r>
    <x v="0"/>
    <s v="武蔵野市"/>
    <x v="28"/>
    <x v="0"/>
    <n v="0"/>
    <n v="0"/>
    <n v="0"/>
    <n v="0"/>
    <n v="0"/>
    <n v="0"/>
    <x v="0"/>
  </r>
  <r>
    <x v="0"/>
    <s v="武蔵野市"/>
    <x v="28"/>
    <x v="1"/>
    <n v="212"/>
    <n v="5"/>
    <n v="31"/>
    <n v="1.87"/>
    <n v="181"/>
    <n v="7.01"/>
    <x v="0"/>
  </r>
  <r>
    <x v="0"/>
    <s v="武蔵野市"/>
    <x v="28"/>
    <x v="2"/>
    <n v="89"/>
    <n v="2.1"/>
    <n v="19"/>
    <n v="1.1499999999999999"/>
    <n v="70"/>
    <n v="2.71"/>
    <x v="0"/>
  </r>
  <r>
    <x v="0"/>
    <s v="武蔵野市"/>
    <x v="28"/>
    <x v="3"/>
    <n v="2"/>
    <n v="0.05"/>
    <n v="0"/>
    <n v="0"/>
    <n v="2"/>
    <n v="0.08"/>
    <x v="0"/>
  </r>
  <r>
    <x v="0"/>
    <s v="武蔵野市"/>
    <x v="28"/>
    <x v="4"/>
    <n v="163"/>
    <n v="3.84"/>
    <n v="8"/>
    <n v="0.48"/>
    <n v="154"/>
    <n v="5.96"/>
    <x v="21"/>
  </r>
  <r>
    <x v="0"/>
    <s v="武蔵野市"/>
    <x v="28"/>
    <x v="5"/>
    <n v="14"/>
    <n v="0.33"/>
    <n v="3"/>
    <n v="0.18"/>
    <n v="11"/>
    <n v="0.43"/>
    <x v="0"/>
  </r>
  <r>
    <x v="0"/>
    <s v="武蔵野市"/>
    <x v="28"/>
    <x v="6"/>
    <n v="898"/>
    <n v="21.16"/>
    <n v="270"/>
    <n v="16.3"/>
    <n v="628"/>
    <n v="24.31"/>
    <x v="0"/>
  </r>
  <r>
    <x v="0"/>
    <s v="武蔵野市"/>
    <x v="28"/>
    <x v="7"/>
    <n v="23"/>
    <n v="0.54"/>
    <n v="3"/>
    <n v="0.18"/>
    <n v="20"/>
    <n v="0.77"/>
    <x v="0"/>
  </r>
  <r>
    <x v="0"/>
    <s v="武蔵野市"/>
    <x v="28"/>
    <x v="8"/>
    <n v="878"/>
    <n v="20.69"/>
    <n v="234"/>
    <n v="14.13"/>
    <n v="644"/>
    <n v="24.93"/>
    <x v="0"/>
  </r>
  <r>
    <x v="0"/>
    <s v="武蔵野市"/>
    <x v="28"/>
    <x v="9"/>
    <n v="392"/>
    <n v="9.24"/>
    <n v="172"/>
    <n v="10.39"/>
    <n v="218"/>
    <n v="8.44"/>
    <x v="3"/>
  </r>
  <r>
    <x v="0"/>
    <s v="武蔵野市"/>
    <x v="28"/>
    <x v="10"/>
    <n v="526"/>
    <n v="12.39"/>
    <n v="336"/>
    <n v="20.29"/>
    <n v="189"/>
    <n v="7.32"/>
    <x v="21"/>
  </r>
  <r>
    <x v="0"/>
    <s v="武蔵野市"/>
    <x v="28"/>
    <x v="11"/>
    <n v="476"/>
    <n v="11.22"/>
    <n v="295"/>
    <n v="17.809999999999999"/>
    <n v="181"/>
    <n v="7.01"/>
    <x v="0"/>
  </r>
  <r>
    <x v="0"/>
    <s v="武蔵野市"/>
    <x v="28"/>
    <x v="12"/>
    <n v="209"/>
    <n v="4.92"/>
    <n v="108"/>
    <n v="6.52"/>
    <n v="101"/>
    <n v="3.91"/>
    <x v="0"/>
  </r>
  <r>
    <x v="0"/>
    <s v="武蔵野市"/>
    <x v="28"/>
    <x v="13"/>
    <n v="261"/>
    <n v="6.15"/>
    <n v="166"/>
    <n v="10.02"/>
    <n v="95"/>
    <n v="3.68"/>
    <x v="0"/>
  </r>
  <r>
    <x v="0"/>
    <s v="武蔵野市"/>
    <x v="28"/>
    <x v="14"/>
    <n v="101"/>
    <n v="2.38"/>
    <n v="11"/>
    <n v="0.66"/>
    <n v="89"/>
    <n v="3.45"/>
    <x v="21"/>
  </r>
  <r>
    <x v="0"/>
    <s v="三鷹市"/>
    <x v="29"/>
    <x v="0"/>
    <n v="0"/>
    <n v="0"/>
    <n v="0"/>
    <n v="0"/>
    <n v="0"/>
    <n v="0"/>
    <x v="0"/>
  </r>
  <r>
    <x v="0"/>
    <s v="三鷹市"/>
    <x v="29"/>
    <x v="1"/>
    <n v="371"/>
    <n v="12.29"/>
    <n v="50"/>
    <n v="3.9"/>
    <n v="321"/>
    <n v="18.510000000000002"/>
    <x v="0"/>
  </r>
  <r>
    <x v="0"/>
    <s v="三鷹市"/>
    <x v="29"/>
    <x v="2"/>
    <n v="153"/>
    <n v="5.07"/>
    <n v="32"/>
    <n v="2.4900000000000002"/>
    <n v="121"/>
    <n v="6.98"/>
    <x v="0"/>
  </r>
  <r>
    <x v="0"/>
    <s v="三鷹市"/>
    <x v="29"/>
    <x v="3"/>
    <n v="1"/>
    <n v="0.03"/>
    <n v="0"/>
    <n v="0"/>
    <n v="1"/>
    <n v="0.06"/>
    <x v="0"/>
  </r>
  <r>
    <x v="0"/>
    <s v="三鷹市"/>
    <x v="29"/>
    <x v="4"/>
    <n v="90"/>
    <n v="2.98"/>
    <n v="2"/>
    <n v="0.16"/>
    <n v="88"/>
    <n v="5.07"/>
    <x v="0"/>
  </r>
  <r>
    <x v="0"/>
    <s v="三鷹市"/>
    <x v="29"/>
    <x v="5"/>
    <n v="46"/>
    <n v="1.52"/>
    <n v="35"/>
    <n v="2.73"/>
    <n v="11"/>
    <n v="0.63"/>
    <x v="0"/>
  </r>
  <r>
    <x v="0"/>
    <s v="三鷹市"/>
    <x v="29"/>
    <x v="6"/>
    <n v="431"/>
    <n v="14.28"/>
    <n v="145"/>
    <n v="11.3"/>
    <n v="286"/>
    <n v="16.489999999999998"/>
    <x v="0"/>
  </r>
  <r>
    <x v="0"/>
    <s v="三鷹市"/>
    <x v="29"/>
    <x v="7"/>
    <n v="12"/>
    <n v="0.4"/>
    <n v="1"/>
    <n v="0.08"/>
    <n v="11"/>
    <n v="0.63"/>
    <x v="0"/>
  </r>
  <r>
    <x v="0"/>
    <s v="三鷹市"/>
    <x v="29"/>
    <x v="8"/>
    <n v="779"/>
    <n v="25.81"/>
    <n v="398"/>
    <n v="31.02"/>
    <n v="381"/>
    <n v="21.97"/>
    <x v="0"/>
  </r>
  <r>
    <x v="0"/>
    <s v="三鷹市"/>
    <x v="29"/>
    <x v="9"/>
    <n v="229"/>
    <n v="7.59"/>
    <n v="84"/>
    <n v="6.55"/>
    <n v="145"/>
    <n v="8.36"/>
    <x v="0"/>
  </r>
  <r>
    <x v="0"/>
    <s v="三鷹市"/>
    <x v="29"/>
    <x v="10"/>
    <n v="263"/>
    <n v="8.7100000000000009"/>
    <n v="183"/>
    <n v="14.26"/>
    <n v="80"/>
    <n v="4.6100000000000003"/>
    <x v="0"/>
  </r>
  <r>
    <x v="0"/>
    <s v="三鷹市"/>
    <x v="29"/>
    <x v="11"/>
    <n v="257"/>
    <n v="8.52"/>
    <n v="183"/>
    <n v="14.26"/>
    <n v="74"/>
    <n v="4.2699999999999996"/>
    <x v="0"/>
  </r>
  <r>
    <x v="0"/>
    <s v="三鷹市"/>
    <x v="29"/>
    <x v="12"/>
    <n v="99"/>
    <n v="3.28"/>
    <n v="63"/>
    <n v="4.91"/>
    <n v="36"/>
    <n v="2.08"/>
    <x v="0"/>
  </r>
  <r>
    <x v="0"/>
    <s v="三鷹市"/>
    <x v="29"/>
    <x v="13"/>
    <n v="182"/>
    <n v="6.03"/>
    <n v="92"/>
    <n v="7.17"/>
    <n v="90"/>
    <n v="5.19"/>
    <x v="0"/>
  </r>
  <r>
    <x v="0"/>
    <s v="三鷹市"/>
    <x v="29"/>
    <x v="14"/>
    <n v="105"/>
    <n v="3.48"/>
    <n v="15"/>
    <n v="1.17"/>
    <n v="89"/>
    <n v="5.13"/>
    <x v="0"/>
  </r>
  <r>
    <x v="0"/>
    <s v="青梅市"/>
    <x v="30"/>
    <x v="0"/>
    <n v="0"/>
    <n v="0"/>
    <n v="0"/>
    <n v="0"/>
    <n v="0"/>
    <n v="0"/>
    <x v="0"/>
  </r>
  <r>
    <x v="0"/>
    <s v="青梅市"/>
    <x v="30"/>
    <x v="1"/>
    <n v="427"/>
    <n v="17.07"/>
    <n v="189"/>
    <n v="14.63"/>
    <n v="238"/>
    <n v="19.77"/>
    <x v="0"/>
  </r>
  <r>
    <x v="0"/>
    <s v="青梅市"/>
    <x v="30"/>
    <x v="2"/>
    <n v="322"/>
    <n v="12.87"/>
    <n v="118"/>
    <n v="9.1300000000000008"/>
    <n v="204"/>
    <n v="16.940000000000001"/>
    <x v="0"/>
  </r>
  <r>
    <x v="0"/>
    <s v="青梅市"/>
    <x v="30"/>
    <x v="3"/>
    <n v="0"/>
    <n v="0"/>
    <n v="0"/>
    <n v="0"/>
    <n v="0"/>
    <n v="0"/>
    <x v="0"/>
  </r>
  <r>
    <x v="0"/>
    <s v="青梅市"/>
    <x v="30"/>
    <x v="4"/>
    <n v="25"/>
    <n v="1"/>
    <n v="3"/>
    <n v="0.23"/>
    <n v="22"/>
    <n v="1.83"/>
    <x v="0"/>
  </r>
  <r>
    <x v="0"/>
    <s v="青梅市"/>
    <x v="30"/>
    <x v="5"/>
    <n v="18"/>
    <n v="0.72"/>
    <n v="0"/>
    <n v="0"/>
    <n v="18"/>
    <n v="1.5"/>
    <x v="0"/>
  </r>
  <r>
    <x v="0"/>
    <s v="青梅市"/>
    <x v="30"/>
    <x v="6"/>
    <n v="496"/>
    <n v="19.829999999999998"/>
    <n v="236"/>
    <n v="18.27"/>
    <n v="260"/>
    <n v="21.59"/>
    <x v="0"/>
  </r>
  <r>
    <x v="0"/>
    <s v="青梅市"/>
    <x v="30"/>
    <x v="7"/>
    <n v="18"/>
    <n v="0.72"/>
    <n v="1"/>
    <n v="0.08"/>
    <n v="17"/>
    <n v="1.41"/>
    <x v="0"/>
  </r>
  <r>
    <x v="0"/>
    <s v="青梅市"/>
    <x v="30"/>
    <x v="8"/>
    <n v="192"/>
    <n v="7.68"/>
    <n v="34"/>
    <n v="2.63"/>
    <n v="156"/>
    <n v="12.96"/>
    <x v="21"/>
  </r>
  <r>
    <x v="0"/>
    <s v="青梅市"/>
    <x v="30"/>
    <x v="9"/>
    <n v="115"/>
    <n v="4.5999999999999996"/>
    <n v="56"/>
    <n v="4.33"/>
    <n v="59"/>
    <n v="4.9000000000000004"/>
    <x v="0"/>
  </r>
  <r>
    <x v="0"/>
    <s v="青梅市"/>
    <x v="30"/>
    <x v="10"/>
    <n v="312"/>
    <n v="12.48"/>
    <n v="271"/>
    <n v="20.98"/>
    <n v="40"/>
    <n v="3.32"/>
    <x v="21"/>
  </r>
  <r>
    <x v="0"/>
    <s v="青梅市"/>
    <x v="30"/>
    <x v="11"/>
    <n v="283"/>
    <n v="11.32"/>
    <n v="219"/>
    <n v="16.95"/>
    <n v="64"/>
    <n v="5.32"/>
    <x v="0"/>
  </r>
  <r>
    <x v="0"/>
    <s v="青梅市"/>
    <x v="30"/>
    <x v="12"/>
    <n v="95"/>
    <n v="3.8"/>
    <n v="64"/>
    <n v="4.95"/>
    <n v="31"/>
    <n v="2.57"/>
    <x v="0"/>
  </r>
  <r>
    <x v="0"/>
    <s v="青梅市"/>
    <x v="30"/>
    <x v="13"/>
    <n v="119"/>
    <n v="4.76"/>
    <n v="71"/>
    <n v="5.5"/>
    <n v="48"/>
    <n v="3.99"/>
    <x v="0"/>
  </r>
  <r>
    <x v="0"/>
    <s v="青梅市"/>
    <x v="30"/>
    <x v="14"/>
    <n v="79"/>
    <n v="3.16"/>
    <n v="30"/>
    <n v="2.3199999999999998"/>
    <n v="47"/>
    <n v="3.9"/>
    <x v="0"/>
  </r>
  <r>
    <x v="0"/>
    <s v="府中市"/>
    <x v="31"/>
    <x v="0"/>
    <n v="0"/>
    <n v="0"/>
    <n v="0"/>
    <n v="0"/>
    <n v="0"/>
    <n v="0"/>
    <x v="0"/>
  </r>
  <r>
    <x v="0"/>
    <s v="府中市"/>
    <x v="31"/>
    <x v="1"/>
    <n v="674"/>
    <n v="16.440000000000001"/>
    <n v="92"/>
    <n v="6.08"/>
    <n v="581"/>
    <n v="22.55"/>
    <x v="21"/>
  </r>
  <r>
    <x v="0"/>
    <s v="府中市"/>
    <x v="31"/>
    <x v="2"/>
    <n v="193"/>
    <n v="4.71"/>
    <n v="29"/>
    <n v="1.92"/>
    <n v="164"/>
    <n v="6.37"/>
    <x v="0"/>
  </r>
  <r>
    <x v="0"/>
    <s v="府中市"/>
    <x v="31"/>
    <x v="3"/>
    <n v="1"/>
    <n v="0.02"/>
    <n v="0"/>
    <n v="0"/>
    <n v="1"/>
    <n v="0.04"/>
    <x v="0"/>
  </r>
  <r>
    <x v="0"/>
    <s v="府中市"/>
    <x v="31"/>
    <x v="4"/>
    <n v="119"/>
    <n v="2.9"/>
    <n v="8"/>
    <n v="0.53"/>
    <n v="111"/>
    <n v="4.3099999999999996"/>
    <x v="0"/>
  </r>
  <r>
    <x v="0"/>
    <s v="府中市"/>
    <x v="31"/>
    <x v="5"/>
    <n v="31"/>
    <n v="0.76"/>
    <n v="1"/>
    <n v="7.0000000000000007E-2"/>
    <n v="30"/>
    <n v="1.1599999999999999"/>
    <x v="0"/>
  </r>
  <r>
    <x v="0"/>
    <s v="府中市"/>
    <x v="31"/>
    <x v="6"/>
    <n v="728"/>
    <n v="17.75"/>
    <n v="216"/>
    <n v="14.27"/>
    <n v="511"/>
    <n v="19.84"/>
    <x v="21"/>
  </r>
  <r>
    <x v="0"/>
    <s v="府中市"/>
    <x v="31"/>
    <x v="7"/>
    <n v="32"/>
    <n v="0.78"/>
    <n v="3"/>
    <n v="0.2"/>
    <n v="29"/>
    <n v="1.1299999999999999"/>
    <x v="0"/>
  </r>
  <r>
    <x v="0"/>
    <s v="府中市"/>
    <x v="31"/>
    <x v="8"/>
    <n v="679"/>
    <n v="16.559999999999999"/>
    <n v="193"/>
    <n v="12.75"/>
    <n v="484"/>
    <n v="18.79"/>
    <x v="0"/>
  </r>
  <r>
    <x v="0"/>
    <s v="府中市"/>
    <x v="31"/>
    <x v="9"/>
    <n v="271"/>
    <n v="6.61"/>
    <n v="109"/>
    <n v="7.2"/>
    <n v="160"/>
    <n v="6.21"/>
    <x v="21"/>
  </r>
  <r>
    <x v="0"/>
    <s v="府中市"/>
    <x v="31"/>
    <x v="10"/>
    <n v="407"/>
    <n v="9.92"/>
    <n v="291"/>
    <n v="19.22"/>
    <n v="116"/>
    <n v="4.5"/>
    <x v="0"/>
  </r>
  <r>
    <x v="0"/>
    <s v="府中市"/>
    <x v="31"/>
    <x v="11"/>
    <n v="438"/>
    <n v="10.68"/>
    <n v="294"/>
    <n v="19.420000000000002"/>
    <n v="142"/>
    <n v="5.51"/>
    <x v="0"/>
  </r>
  <r>
    <x v="0"/>
    <s v="府中市"/>
    <x v="31"/>
    <x v="12"/>
    <n v="159"/>
    <n v="3.88"/>
    <n v="91"/>
    <n v="6.01"/>
    <n v="67"/>
    <n v="2.6"/>
    <x v="0"/>
  </r>
  <r>
    <x v="0"/>
    <s v="府中市"/>
    <x v="31"/>
    <x v="13"/>
    <n v="242"/>
    <n v="5.9"/>
    <n v="162"/>
    <n v="10.7"/>
    <n v="80"/>
    <n v="3.11"/>
    <x v="0"/>
  </r>
  <r>
    <x v="0"/>
    <s v="府中市"/>
    <x v="31"/>
    <x v="14"/>
    <n v="127"/>
    <n v="3.1"/>
    <n v="25"/>
    <n v="1.65"/>
    <n v="100"/>
    <n v="3.88"/>
    <x v="0"/>
  </r>
  <r>
    <x v="0"/>
    <s v="昭島市"/>
    <x v="32"/>
    <x v="0"/>
    <n v="0"/>
    <n v="0"/>
    <n v="0"/>
    <n v="0"/>
    <n v="0"/>
    <n v="0"/>
    <x v="0"/>
  </r>
  <r>
    <x v="0"/>
    <s v="昭島市"/>
    <x v="32"/>
    <x v="1"/>
    <n v="245"/>
    <n v="13.36"/>
    <n v="38"/>
    <n v="4.87"/>
    <n v="207"/>
    <n v="19.73"/>
    <x v="0"/>
  </r>
  <r>
    <x v="0"/>
    <s v="昭島市"/>
    <x v="32"/>
    <x v="2"/>
    <n v="161"/>
    <n v="8.7799999999999994"/>
    <n v="29"/>
    <n v="3.72"/>
    <n v="132"/>
    <n v="12.58"/>
    <x v="0"/>
  </r>
  <r>
    <x v="0"/>
    <s v="昭島市"/>
    <x v="32"/>
    <x v="3"/>
    <n v="1"/>
    <n v="0.05"/>
    <n v="0"/>
    <n v="0"/>
    <n v="0"/>
    <n v="0"/>
    <x v="0"/>
  </r>
  <r>
    <x v="0"/>
    <s v="昭島市"/>
    <x v="32"/>
    <x v="4"/>
    <n v="23"/>
    <n v="1.25"/>
    <n v="0"/>
    <n v="0"/>
    <n v="23"/>
    <n v="2.19"/>
    <x v="0"/>
  </r>
  <r>
    <x v="0"/>
    <s v="昭島市"/>
    <x v="32"/>
    <x v="5"/>
    <n v="20"/>
    <n v="1.0900000000000001"/>
    <n v="3"/>
    <n v="0.38"/>
    <n v="17"/>
    <n v="1.62"/>
    <x v="0"/>
  </r>
  <r>
    <x v="0"/>
    <s v="昭島市"/>
    <x v="32"/>
    <x v="6"/>
    <n v="352"/>
    <n v="19.190000000000001"/>
    <n v="124"/>
    <n v="15.9"/>
    <n v="228"/>
    <n v="21.73"/>
    <x v="0"/>
  </r>
  <r>
    <x v="0"/>
    <s v="昭島市"/>
    <x v="32"/>
    <x v="7"/>
    <n v="11"/>
    <n v="0.6"/>
    <n v="0"/>
    <n v="0"/>
    <n v="11"/>
    <n v="1.05"/>
    <x v="0"/>
  </r>
  <r>
    <x v="0"/>
    <s v="昭島市"/>
    <x v="32"/>
    <x v="8"/>
    <n v="214"/>
    <n v="11.67"/>
    <n v="49"/>
    <n v="6.28"/>
    <n v="165"/>
    <n v="15.73"/>
    <x v="0"/>
  </r>
  <r>
    <x v="0"/>
    <s v="昭島市"/>
    <x v="32"/>
    <x v="9"/>
    <n v="93"/>
    <n v="5.07"/>
    <n v="47"/>
    <n v="6.03"/>
    <n v="46"/>
    <n v="4.3899999999999997"/>
    <x v="0"/>
  </r>
  <r>
    <x v="0"/>
    <s v="昭島市"/>
    <x v="32"/>
    <x v="10"/>
    <n v="241"/>
    <n v="13.14"/>
    <n v="202"/>
    <n v="25.9"/>
    <n v="39"/>
    <n v="3.72"/>
    <x v="0"/>
  </r>
  <r>
    <x v="0"/>
    <s v="昭島市"/>
    <x v="32"/>
    <x v="11"/>
    <n v="221"/>
    <n v="12.05"/>
    <n v="153"/>
    <n v="19.62"/>
    <n v="68"/>
    <n v="6.48"/>
    <x v="0"/>
  </r>
  <r>
    <x v="0"/>
    <s v="昭島市"/>
    <x v="32"/>
    <x v="12"/>
    <n v="90"/>
    <n v="4.91"/>
    <n v="51"/>
    <n v="6.54"/>
    <n v="39"/>
    <n v="3.72"/>
    <x v="0"/>
  </r>
  <r>
    <x v="0"/>
    <s v="昭島市"/>
    <x v="32"/>
    <x v="13"/>
    <n v="109"/>
    <n v="5.94"/>
    <n v="71"/>
    <n v="9.1"/>
    <n v="36"/>
    <n v="3.43"/>
    <x v="0"/>
  </r>
  <r>
    <x v="0"/>
    <s v="昭島市"/>
    <x v="32"/>
    <x v="14"/>
    <n v="53"/>
    <n v="2.89"/>
    <n v="13"/>
    <n v="1.67"/>
    <n v="38"/>
    <n v="3.62"/>
    <x v="21"/>
  </r>
  <r>
    <x v="0"/>
    <s v="調布市"/>
    <x v="33"/>
    <x v="0"/>
    <n v="0"/>
    <n v="0"/>
    <n v="0"/>
    <n v="0"/>
    <n v="0"/>
    <n v="0"/>
    <x v="0"/>
  </r>
  <r>
    <x v="0"/>
    <s v="調布市"/>
    <x v="33"/>
    <x v="1"/>
    <n v="459"/>
    <n v="12.67"/>
    <n v="53"/>
    <n v="4.45"/>
    <n v="406"/>
    <n v="16.739999999999998"/>
    <x v="0"/>
  </r>
  <r>
    <x v="0"/>
    <s v="調布市"/>
    <x v="33"/>
    <x v="2"/>
    <n v="196"/>
    <n v="5.41"/>
    <n v="35"/>
    <n v="2.94"/>
    <n v="161"/>
    <n v="6.64"/>
    <x v="0"/>
  </r>
  <r>
    <x v="0"/>
    <s v="調布市"/>
    <x v="33"/>
    <x v="3"/>
    <n v="6"/>
    <n v="0.17"/>
    <n v="0"/>
    <n v="0"/>
    <n v="5"/>
    <n v="0.21"/>
    <x v="0"/>
  </r>
  <r>
    <x v="0"/>
    <s v="調布市"/>
    <x v="33"/>
    <x v="4"/>
    <n v="119"/>
    <n v="3.28"/>
    <n v="5"/>
    <n v="0.42"/>
    <n v="114"/>
    <n v="4.7"/>
    <x v="0"/>
  </r>
  <r>
    <x v="0"/>
    <s v="調布市"/>
    <x v="33"/>
    <x v="5"/>
    <n v="28"/>
    <n v="0.77"/>
    <n v="3"/>
    <n v="0.25"/>
    <n v="25"/>
    <n v="1.03"/>
    <x v="0"/>
  </r>
  <r>
    <x v="0"/>
    <s v="調布市"/>
    <x v="33"/>
    <x v="6"/>
    <n v="709"/>
    <n v="19.57"/>
    <n v="222"/>
    <n v="18.66"/>
    <n v="486"/>
    <n v="20.04"/>
    <x v="21"/>
  </r>
  <r>
    <x v="0"/>
    <s v="調布市"/>
    <x v="33"/>
    <x v="7"/>
    <n v="15"/>
    <n v="0.41"/>
    <n v="0"/>
    <n v="0"/>
    <n v="15"/>
    <n v="0.62"/>
    <x v="0"/>
  </r>
  <r>
    <x v="0"/>
    <s v="調布市"/>
    <x v="33"/>
    <x v="8"/>
    <n v="522"/>
    <n v="14.41"/>
    <n v="46"/>
    <n v="3.87"/>
    <n v="476"/>
    <n v="19.63"/>
    <x v="0"/>
  </r>
  <r>
    <x v="0"/>
    <s v="調布市"/>
    <x v="33"/>
    <x v="9"/>
    <n v="315"/>
    <n v="8.69"/>
    <n v="101"/>
    <n v="8.49"/>
    <n v="213"/>
    <n v="8.7799999999999994"/>
    <x v="21"/>
  </r>
  <r>
    <x v="0"/>
    <s v="調布市"/>
    <x v="33"/>
    <x v="10"/>
    <n v="403"/>
    <n v="11.12"/>
    <n v="285"/>
    <n v="23.95"/>
    <n v="117"/>
    <n v="4.82"/>
    <x v="0"/>
  </r>
  <r>
    <x v="0"/>
    <s v="調布市"/>
    <x v="33"/>
    <x v="11"/>
    <n v="386"/>
    <n v="10.65"/>
    <n v="214"/>
    <n v="17.98"/>
    <n v="172"/>
    <n v="7.09"/>
    <x v="0"/>
  </r>
  <r>
    <x v="0"/>
    <s v="調布市"/>
    <x v="33"/>
    <x v="12"/>
    <n v="148"/>
    <n v="4.09"/>
    <n v="85"/>
    <n v="7.14"/>
    <n v="63"/>
    <n v="2.6"/>
    <x v="0"/>
  </r>
  <r>
    <x v="0"/>
    <s v="調布市"/>
    <x v="33"/>
    <x v="13"/>
    <n v="211"/>
    <n v="5.82"/>
    <n v="128"/>
    <n v="10.76"/>
    <n v="80"/>
    <n v="3.3"/>
    <x v="21"/>
  </r>
  <r>
    <x v="0"/>
    <s v="調布市"/>
    <x v="33"/>
    <x v="14"/>
    <n v="106"/>
    <n v="2.93"/>
    <n v="13"/>
    <n v="1.0900000000000001"/>
    <n v="92"/>
    <n v="3.79"/>
    <x v="0"/>
  </r>
  <r>
    <x v="0"/>
    <s v="町田市"/>
    <x v="34"/>
    <x v="0"/>
    <n v="0"/>
    <n v="0"/>
    <n v="0"/>
    <n v="0"/>
    <n v="0"/>
    <n v="0"/>
    <x v="0"/>
  </r>
  <r>
    <x v="0"/>
    <s v="町田市"/>
    <x v="34"/>
    <x v="1"/>
    <n v="949"/>
    <n v="15.12"/>
    <n v="122"/>
    <n v="5.67"/>
    <n v="826"/>
    <n v="20.100000000000001"/>
    <x v="21"/>
  </r>
  <r>
    <x v="0"/>
    <s v="町田市"/>
    <x v="34"/>
    <x v="2"/>
    <n v="281"/>
    <n v="4.4800000000000004"/>
    <n v="42"/>
    <n v="1.95"/>
    <n v="239"/>
    <n v="5.82"/>
    <x v="0"/>
  </r>
  <r>
    <x v="0"/>
    <s v="町田市"/>
    <x v="34"/>
    <x v="3"/>
    <n v="2"/>
    <n v="0.03"/>
    <n v="0"/>
    <n v="0"/>
    <n v="2"/>
    <n v="0.05"/>
    <x v="0"/>
  </r>
  <r>
    <x v="0"/>
    <s v="町田市"/>
    <x v="34"/>
    <x v="4"/>
    <n v="179"/>
    <n v="2.85"/>
    <n v="5"/>
    <n v="0.23"/>
    <n v="174"/>
    <n v="4.2300000000000004"/>
    <x v="0"/>
  </r>
  <r>
    <x v="0"/>
    <s v="町田市"/>
    <x v="34"/>
    <x v="5"/>
    <n v="56"/>
    <n v="0.89"/>
    <n v="12"/>
    <n v="0.56000000000000005"/>
    <n v="44"/>
    <n v="1.07"/>
    <x v="0"/>
  </r>
  <r>
    <x v="0"/>
    <s v="町田市"/>
    <x v="34"/>
    <x v="6"/>
    <n v="1252"/>
    <n v="19.940000000000001"/>
    <n v="347"/>
    <n v="16.13"/>
    <n v="904"/>
    <n v="22"/>
    <x v="21"/>
  </r>
  <r>
    <x v="0"/>
    <s v="町田市"/>
    <x v="34"/>
    <x v="7"/>
    <n v="52"/>
    <n v="0.83"/>
    <n v="12"/>
    <n v="0.56000000000000005"/>
    <n v="40"/>
    <n v="0.97"/>
    <x v="0"/>
  </r>
  <r>
    <x v="0"/>
    <s v="町田市"/>
    <x v="34"/>
    <x v="8"/>
    <n v="836"/>
    <n v="13.32"/>
    <n v="144"/>
    <n v="6.69"/>
    <n v="690"/>
    <n v="16.79"/>
    <x v="3"/>
  </r>
  <r>
    <x v="0"/>
    <s v="町田市"/>
    <x v="34"/>
    <x v="9"/>
    <n v="550"/>
    <n v="8.76"/>
    <n v="200"/>
    <n v="9.3000000000000007"/>
    <n v="346"/>
    <n v="8.42"/>
    <x v="5"/>
  </r>
  <r>
    <x v="0"/>
    <s v="町田市"/>
    <x v="34"/>
    <x v="10"/>
    <n v="507"/>
    <n v="8.08"/>
    <n v="349"/>
    <n v="16.23"/>
    <n v="158"/>
    <n v="3.84"/>
    <x v="0"/>
  </r>
  <r>
    <x v="0"/>
    <s v="町田市"/>
    <x v="34"/>
    <x v="11"/>
    <n v="699"/>
    <n v="11.13"/>
    <n v="454"/>
    <n v="21.11"/>
    <n v="243"/>
    <n v="5.91"/>
    <x v="3"/>
  </r>
  <r>
    <x v="0"/>
    <s v="町田市"/>
    <x v="34"/>
    <x v="12"/>
    <n v="328"/>
    <n v="5.22"/>
    <n v="205"/>
    <n v="9.5299999999999994"/>
    <n v="121"/>
    <n v="2.94"/>
    <x v="21"/>
  </r>
  <r>
    <x v="0"/>
    <s v="町田市"/>
    <x v="34"/>
    <x v="13"/>
    <n v="364"/>
    <n v="5.8"/>
    <n v="224"/>
    <n v="10.41"/>
    <n v="139"/>
    <n v="3.38"/>
    <x v="0"/>
  </r>
  <r>
    <x v="0"/>
    <s v="町田市"/>
    <x v="34"/>
    <x v="14"/>
    <n v="223"/>
    <n v="3.55"/>
    <n v="35"/>
    <n v="1.63"/>
    <n v="184"/>
    <n v="4.4800000000000004"/>
    <x v="0"/>
  </r>
  <r>
    <x v="0"/>
    <s v="小金井市"/>
    <x v="35"/>
    <x v="0"/>
    <n v="0"/>
    <n v="0"/>
    <n v="0"/>
    <n v="0"/>
    <n v="0"/>
    <n v="0"/>
    <x v="0"/>
  </r>
  <r>
    <x v="0"/>
    <s v="小金井市"/>
    <x v="35"/>
    <x v="1"/>
    <n v="148"/>
    <n v="8.89"/>
    <n v="14"/>
    <n v="2.2000000000000002"/>
    <n v="134"/>
    <n v="13.12"/>
    <x v="0"/>
  </r>
  <r>
    <x v="0"/>
    <s v="小金井市"/>
    <x v="35"/>
    <x v="2"/>
    <n v="60"/>
    <n v="3.6"/>
    <n v="10"/>
    <n v="1.57"/>
    <n v="50"/>
    <n v="4.9000000000000004"/>
    <x v="0"/>
  </r>
  <r>
    <x v="0"/>
    <s v="小金井市"/>
    <x v="35"/>
    <x v="3"/>
    <n v="1"/>
    <n v="0.06"/>
    <n v="0"/>
    <n v="0"/>
    <n v="1"/>
    <n v="0.1"/>
    <x v="0"/>
  </r>
  <r>
    <x v="0"/>
    <s v="小金井市"/>
    <x v="35"/>
    <x v="4"/>
    <n v="40"/>
    <n v="2.4"/>
    <n v="1"/>
    <n v="0.16"/>
    <n v="39"/>
    <n v="3.82"/>
    <x v="0"/>
  </r>
  <r>
    <x v="0"/>
    <s v="小金井市"/>
    <x v="35"/>
    <x v="5"/>
    <n v="3"/>
    <n v="0.18"/>
    <n v="1"/>
    <n v="0.16"/>
    <n v="2"/>
    <n v="0.2"/>
    <x v="0"/>
  </r>
  <r>
    <x v="0"/>
    <s v="小金井市"/>
    <x v="35"/>
    <x v="6"/>
    <n v="328"/>
    <n v="19.7"/>
    <n v="123"/>
    <n v="19.34"/>
    <n v="205"/>
    <n v="20.079999999999998"/>
    <x v="0"/>
  </r>
  <r>
    <x v="0"/>
    <s v="小金井市"/>
    <x v="35"/>
    <x v="7"/>
    <n v="14"/>
    <n v="0.84"/>
    <n v="0"/>
    <n v="0"/>
    <n v="14"/>
    <n v="1.37"/>
    <x v="0"/>
  </r>
  <r>
    <x v="0"/>
    <s v="小金井市"/>
    <x v="35"/>
    <x v="8"/>
    <n v="284"/>
    <n v="17.059999999999999"/>
    <n v="44"/>
    <n v="6.92"/>
    <n v="240"/>
    <n v="23.51"/>
    <x v="0"/>
  </r>
  <r>
    <x v="0"/>
    <s v="小金井市"/>
    <x v="35"/>
    <x v="9"/>
    <n v="155"/>
    <n v="9.31"/>
    <n v="59"/>
    <n v="9.2799999999999994"/>
    <n v="96"/>
    <n v="9.4"/>
    <x v="0"/>
  </r>
  <r>
    <x v="0"/>
    <s v="小金井市"/>
    <x v="35"/>
    <x v="10"/>
    <n v="175"/>
    <n v="10.51"/>
    <n v="124"/>
    <n v="19.5"/>
    <n v="51"/>
    <n v="5"/>
    <x v="0"/>
  </r>
  <r>
    <x v="0"/>
    <s v="小金井市"/>
    <x v="35"/>
    <x v="11"/>
    <n v="203"/>
    <n v="12.19"/>
    <n v="123"/>
    <n v="19.34"/>
    <n v="80"/>
    <n v="7.84"/>
    <x v="0"/>
  </r>
  <r>
    <x v="0"/>
    <s v="小金井市"/>
    <x v="35"/>
    <x v="12"/>
    <n v="78"/>
    <n v="4.68"/>
    <n v="43"/>
    <n v="6.76"/>
    <n v="29"/>
    <n v="2.84"/>
    <x v="21"/>
  </r>
  <r>
    <x v="0"/>
    <s v="小金井市"/>
    <x v="35"/>
    <x v="13"/>
    <n v="134"/>
    <n v="8.0500000000000007"/>
    <n v="87"/>
    <n v="13.68"/>
    <n v="46"/>
    <n v="4.51"/>
    <x v="0"/>
  </r>
  <r>
    <x v="0"/>
    <s v="小金井市"/>
    <x v="35"/>
    <x v="14"/>
    <n v="42"/>
    <n v="2.52"/>
    <n v="7"/>
    <n v="1.1000000000000001"/>
    <n v="34"/>
    <n v="3.33"/>
    <x v="21"/>
  </r>
  <r>
    <x v="0"/>
    <s v="小平市"/>
    <x v="36"/>
    <x v="0"/>
    <n v="0"/>
    <n v="0"/>
    <n v="0"/>
    <n v="0"/>
    <n v="0"/>
    <n v="0"/>
    <x v="0"/>
  </r>
  <r>
    <x v="0"/>
    <s v="小平市"/>
    <x v="36"/>
    <x v="1"/>
    <n v="368"/>
    <n v="14.28"/>
    <n v="60"/>
    <n v="5.45"/>
    <n v="308"/>
    <n v="21.31"/>
    <x v="0"/>
  </r>
  <r>
    <x v="0"/>
    <s v="小平市"/>
    <x v="36"/>
    <x v="2"/>
    <n v="111"/>
    <n v="4.3099999999999996"/>
    <n v="13"/>
    <n v="1.18"/>
    <n v="98"/>
    <n v="6.78"/>
    <x v="0"/>
  </r>
  <r>
    <x v="0"/>
    <s v="小平市"/>
    <x v="36"/>
    <x v="3"/>
    <n v="2"/>
    <n v="0.08"/>
    <n v="0"/>
    <n v="0"/>
    <n v="2"/>
    <n v="0.14000000000000001"/>
    <x v="0"/>
  </r>
  <r>
    <x v="0"/>
    <s v="小平市"/>
    <x v="36"/>
    <x v="4"/>
    <n v="64"/>
    <n v="2.48"/>
    <n v="5"/>
    <n v="0.45"/>
    <n v="59"/>
    <n v="4.08"/>
    <x v="0"/>
  </r>
  <r>
    <x v="0"/>
    <s v="小平市"/>
    <x v="36"/>
    <x v="5"/>
    <n v="15"/>
    <n v="0.57999999999999996"/>
    <n v="4"/>
    <n v="0.36"/>
    <n v="11"/>
    <n v="0.76"/>
    <x v="0"/>
  </r>
  <r>
    <x v="0"/>
    <s v="小平市"/>
    <x v="36"/>
    <x v="6"/>
    <n v="498"/>
    <n v="19.32"/>
    <n v="216"/>
    <n v="19.64"/>
    <n v="282"/>
    <n v="19.52"/>
    <x v="0"/>
  </r>
  <r>
    <x v="0"/>
    <s v="小平市"/>
    <x v="36"/>
    <x v="7"/>
    <n v="22"/>
    <n v="0.85"/>
    <n v="1"/>
    <n v="0.09"/>
    <n v="21"/>
    <n v="1.45"/>
    <x v="0"/>
  </r>
  <r>
    <x v="0"/>
    <s v="小平市"/>
    <x v="36"/>
    <x v="8"/>
    <n v="334"/>
    <n v="12.96"/>
    <n v="90"/>
    <n v="8.18"/>
    <n v="244"/>
    <n v="16.89"/>
    <x v="0"/>
  </r>
  <r>
    <x v="0"/>
    <s v="小平市"/>
    <x v="36"/>
    <x v="9"/>
    <n v="195"/>
    <n v="7.57"/>
    <n v="67"/>
    <n v="6.09"/>
    <n v="126"/>
    <n v="8.7200000000000006"/>
    <x v="21"/>
  </r>
  <r>
    <x v="0"/>
    <s v="小平市"/>
    <x v="36"/>
    <x v="10"/>
    <n v="263"/>
    <n v="10.210000000000001"/>
    <n v="204"/>
    <n v="18.55"/>
    <n v="58"/>
    <n v="4.01"/>
    <x v="21"/>
  </r>
  <r>
    <x v="0"/>
    <s v="小平市"/>
    <x v="36"/>
    <x v="11"/>
    <n v="314"/>
    <n v="12.18"/>
    <n v="213"/>
    <n v="19.36"/>
    <n v="101"/>
    <n v="6.99"/>
    <x v="0"/>
  </r>
  <r>
    <x v="0"/>
    <s v="小平市"/>
    <x v="36"/>
    <x v="12"/>
    <n v="144"/>
    <n v="5.59"/>
    <n v="108"/>
    <n v="9.82"/>
    <n v="33"/>
    <n v="2.2799999999999998"/>
    <x v="0"/>
  </r>
  <r>
    <x v="0"/>
    <s v="小平市"/>
    <x v="36"/>
    <x v="13"/>
    <n v="158"/>
    <n v="6.13"/>
    <n v="106"/>
    <n v="9.64"/>
    <n v="45"/>
    <n v="3.11"/>
    <x v="0"/>
  </r>
  <r>
    <x v="0"/>
    <s v="小平市"/>
    <x v="36"/>
    <x v="14"/>
    <n v="89"/>
    <n v="3.45"/>
    <n v="13"/>
    <n v="1.18"/>
    <n v="57"/>
    <n v="3.94"/>
    <x v="0"/>
  </r>
  <r>
    <x v="0"/>
    <s v="日野市"/>
    <x v="37"/>
    <x v="0"/>
    <n v="0"/>
    <n v="0"/>
    <n v="0"/>
    <n v="0"/>
    <n v="0"/>
    <n v="0"/>
    <x v="0"/>
  </r>
  <r>
    <x v="0"/>
    <s v="日野市"/>
    <x v="37"/>
    <x v="1"/>
    <n v="308"/>
    <n v="12.15"/>
    <n v="68"/>
    <n v="5.78"/>
    <n v="240"/>
    <n v="17.78"/>
    <x v="0"/>
  </r>
  <r>
    <x v="0"/>
    <s v="日野市"/>
    <x v="37"/>
    <x v="2"/>
    <n v="110"/>
    <n v="4.34"/>
    <n v="22"/>
    <n v="1.87"/>
    <n v="88"/>
    <n v="6.52"/>
    <x v="0"/>
  </r>
  <r>
    <x v="0"/>
    <s v="日野市"/>
    <x v="37"/>
    <x v="3"/>
    <n v="3"/>
    <n v="0.12"/>
    <n v="0"/>
    <n v="0"/>
    <n v="3"/>
    <n v="0.22"/>
    <x v="0"/>
  </r>
  <r>
    <x v="0"/>
    <s v="日野市"/>
    <x v="37"/>
    <x v="4"/>
    <n v="72"/>
    <n v="2.84"/>
    <n v="4"/>
    <n v="0.34"/>
    <n v="68"/>
    <n v="5.04"/>
    <x v="0"/>
  </r>
  <r>
    <x v="0"/>
    <s v="日野市"/>
    <x v="37"/>
    <x v="5"/>
    <n v="27"/>
    <n v="1.07"/>
    <n v="15"/>
    <n v="1.28"/>
    <n v="12"/>
    <n v="0.89"/>
    <x v="0"/>
  </r>
  <r>
    <x v="0"/>
    <s v="日野市"/>
    <x v="37"/>
    <x v="6"/>
    <n v="403"/>
    <n v="15.9"/>
    <n v="143"/>
    <n v="12.16"/>
    <n v="258"/>
    <n v="19.11"/>
    <x v="3"/>
  </r>
  <r>
    <x v="0"/>
    <s v="日野市"/>
    <x v="37"/>
    <x v="7"/>
    <n v="23"/>
    <n v="0.91"/>
    <n v="3"/>
    <n v="0.26"/>
    <n v="20"/>
    <n v="1.48"/>
    <x v="0"/>
  </r>
  <r>
    <x v="0"/>
    <s v="日野市"/>
    <x v="37"/>
    <x v="8"/>
    <n v="436"/>
    <n v="17.2"/>
    <n v="213"/>
    <n v="18.11"/>
    <n v="223"/>
    <n v="16.52"/>
    <x v="0"/>
  </r>
  <r>
    <x v="0"/>
    <s v="日野市"/>
    <x v="37"/>
    <x v="9"/>
    <n v="218"/>
    <n v="8.6"/>
    <n v="91"/>
    <n v="7.74"/>
    <n v="127"/>
    <n v="9.41"/>
    <x v="0"/>
  </r>
  <r>
    <x v="0"/>
    <s v="日野市"/>
    <x v="37"/>
    <x v="10"/>
    <n v="226"/>
    <n v="8.92"/>
    <n v="165"/>
    <n v="14.03"/>
    <n v="60"/>
    <n v="4.4400000000000004"/>
    <x v="21"/>
  </r>
  <r>
    <x v="0"/>
    <s v="日野市"/>
    <x v="37"/>
    <x v="11"/>
    <n v="276"/>
    <n v="10.89"/>
    <n v="194"/>
    <n v="16.5"/>
    <n v="82"/>
    <n v="6.07"/>
    <x v="0"/>
  </r>
  <r>
    <x v="0"/>
    <s v="日野市"/>
    <x v="37"/>
    <x v="12"/>
    <n v="170"/>
    <n v="6.71"/>
    <n v="127"/>
    <n v="10.8"/>
    <n v="38"/>
    <n v="2.81"/>
    <x v="0"/>
  </r>
  <r>
    <x v="0"/>
    <s v="日野市"/>
    <x v="37"/>
    <x v="13"/>
    <n v="174"/>
    <n v="6.86"/>
    <n v="108"/>
    <n v="9.18"/>
    <n v="65"/>
    <n v="4.8099999999999996"/>
    <x v="0"/>
  </r>
  <r>
    <x v="0"/>
    <s v="日野市"/>
    <x v="37"/>
    <x v="14"/>
    <n v="89"/>
    <n v="3.51"/>
    <n v="23"/>
    <n v="1.96"/>
    <n v="66"/>
    <n v="4.8899999999999997"/>
    <x v="0"/>
  </r>
  <r>
    <x v="0"/>
    <s v="東村山市"/>
    <x v="38"/>
    <x v="0"/>
    <n v="0"/>
    <n v="0"/>
    <n v="0"/>
    <n v="0"/>
    <n v="0"/>
    <n v="0"/>
    <x v="0"/>
  </r>
  <r>
    <x v="0"/>
    <s v="東村山市"/>
    <x v="38"/>
    <x v="1"/>
    <n v="344"/>
    <n v="15.99"/>
    <n v="54"/>
    <n v="5.72"/>
    <n v="290"/>
    <n v="24.11"/>
    <x v="0"/>
  </r>
  <r>
    <x v="0"/>
    <s v="東村山市"/>
    <x v="38"/>
    <x v="2"/>
    <n v="133"/>
    <n v="6.18"/>
    <n v="30"/>
    <n v="3.18"/>
    <n v="103"/>
    <n v="8.56"/>
    <x v="0"/>
  </r>
  <r>
    <x v="0"/>
    <s v="東村山市"/>
    <x v="38"/>
    <x v="3"/>
    <n v="5"/>
    <n v="0.23"/>
    <n v="0"/>
    <n v="0"/>
    <n v="5"/>
    <n v="0.42"/>
    <x v="0"/>
  </r>
  <r>
    <x v="0"/>
    <s v="東村山市"/>
    <x v="38"/>
    <x v="4"/>
    <n v="39"/>
    <n v="1.81"/>
    <n v="2"/>
    <n v="0.21"/>
    <n v="37"/>
    <n v="3.08"/>
    <x v="0"/>
  </r>
  <r>
    <x v="0"/>
    <s v="東村山市"/>
    <x v="38"/>
    <x v="5"/>
    <n v="20"/>
    <n v="0.93"/>
    <n v="4"/>
    <n v="0.42"/>
    <n v="16"/>
    <n v="1.33"/>
    <x v="0"/>
  </r>
  <r>
    <x v="0"/>
    <s v="東村山市"/>
    <x v="38"/>
    <x v="6"/>
    <n v="389"/>
    <n v="18.079999999999998"/>
    <n v="180"/>
    <n v="19.07"/>
    <n v="208"/>
    <n v="17.29"/>
    <x v="0"/>
  </r>
  <r>
    <x v="0"/>
    <s v="東村山市"/>
    <x v="38"/>
    <x v="7"/>
    <n v="12"/>
    <n v="0.56000000000000005"/>
    <n v="3"/>
    <n v="0.32"/>
    <n v="9"/>
    <n v="0.75"/>
    <x v="0"/>
  </r>
  <r>
    <x v="0"/>
    <s v="東村山市"/>
    <x v="38"/>
    <x v="8"/>
    <n v="235"/>
    <n v="10.93"/>
    <n v="44"/>
    <n v="4.66"/>
    <n v="191"/>
    <n v="15.88"/>
    <x v="0"/>
  </r>
  <r>
    <x v="0"/>
    <s v="東村山市"/>
    <x v="38"/>
    <x v="9"/>
    <n v="145"/>
    <n v="6.74"/>
    <n v="55"/>
    <n v="5.83"/>
    <n v="90"/>
    <n v="7.48"/>
    <x v="0"/>
  </r>
  <r>
    <x v="0"/>
    <s v="東村山市"/>
    <x v="38"/>
    <x v="10"/>
    <n v="274"/>
    <n v="12.74"/>
    <n v="210"/>
    <n v="22.25"/>
    <n v="64"/>
    <n v="5.32"/>
    <x v="0"/>
  </r>
  <r>
    <x v="0"/>
    <s v="東村山市"/>
    <x v="38"/>
    <x v="11"/>
    <n v="268"/>
    <n v="12.46"/>
    <n v="190"/>
    <n v="20.13"/>
    <n v="77"/>
    <n v="6.4"/>
    <x v="0"/>
  </r>
  <r>
    <x v="0"/>
    <s v="東村山市"/>
    <x v="38"/>
    <x v="12"/>
    <n v="91"/>
    <n v="4.2300000000000004"/>
    <n v="70"/>
    <n v="7.42"/>
    <n v="21"/>
    <n v="1.75"/>
    <x v="0"/>
  </r>
  <r>
    <x v="0"/>
    <s v="東村山市"/>
    <x v="38"/>
    <x v="13"/>
    <n v="129"/>
    <n v="6"/>
    <n v="84"/>
    <n v="8.9"/>
    <n v="43"/>
    <n v="3.57"/>
    <x v="0"/>
  </r>
  <r>
    <x v="0"/>
    <s v="東村山市"/>
    <x v="38"/>
    <x v="14"/>
    <n v="67"/>
    <n v="3.11"/>
    <n v="18"/>
    <n v="1.91"/>
    <n v="49"/>
    <n v="4.07"/>
    <x v="0"/>
  </r>
  <r>
    <x v="0"/>
    <s v="国分寺市"/>
    <x v="39"/>
    <x v="0"/>
    <n v="0"/>
    <n v="0"/>
    <n v="0"/>
    <n v="0"/>
    <n v="0"/>
    <n v="0"/>
    <x v="0"/>
  </r>
  <r>
    <x v="0"/>
    <s v="国分寺市"/>
    <x v="39"/>
    <x v="1"/>
    <n v="178"/>
    <n v="9.2799999999999994"/>
    <n v="32"/>
    <n v="4.51"/>
    <n v="146"/>
    <n v="12.17"/>
    <x v="0"/>
  </r>
  <r>
    <x v="0"/>
    <s v="国分寺市"/>
    <x v="39"/>
    <x v="2"/>
    <n v="76"/>
    <n v="3.96"/>
    <n v="10"/>
    <n v="1.41"/>
    <n v="66"/>
    <n v="5.5"/>
    <x v="0"/>
  </r>
  <r>
    <x v="0"/>
    <s v="国分寺市"/>
    <x v="39"/>
    <x v="3"/>
    <n v="2"/>
    <n v="0.1"/>
    <n v="0"/>
    <n v="0"/>
    <n v="2"/>
    <n v="0.17"/>
    <x v="0"/>
  </r>
  <r>
    <x v="0"/>
    <s v="国分寺市"/>
    <x v="39"/>
    <x v="4"/>
    <n v="59"/>
    <n v="3.08"/>
    <n v="4"/>
    <n v="0.56000000000000005"/>
    <n v="55"/>
    <n v="4.58"/>
    <x v="0"/>
  </r>
  <r>
    <x v="0"/>
    <s v="国分寺市"/>
    <x v="39"/>
    <x v="5"/>
    <n v="9"/>
    <n v="0.47"/>
    <n v="3"/>
    <n v="0.42"/>
    <n v="6"/>
    <n v="0.5"/>
    <x v="0"/>
  </r>
  <r>
    <x v="0"/>
    <s v="国分寺市"/>
    <x v="39"/>
    <x v="6"/>
    <n v="370"/>
    <n v="19.29"/>
    <n v="104"/>
    <n v="14.67"/>
    <n v="266"/>
    <n v="22.17"/>
    <x v="0"/>
  </r>
  <r>
    <x v="0"/>
    <s v="国分寺市"/>
    <x v="39"/>
    <x v="7"/>
    <n v="10"/>
    <n v="0.52"/>
    <n v="1"/>
    <n v="0.14000000000000001"/>
    <n v="9"/>
    <n v="0.75"/>
    <x v="0"/>
  </r>
  <r>
    <x v="0"/>
    <s v="国分寺市"/>
    <x v="39"/>
    <x v="8"/>
    <n v="290"/>
    <n v="15.12"/>
    <n v="25"/>
    <n v="3.53"/>
    <n v="265"/>
    <n v="22.08"/>
    <x v="0"/>
  </r>
  <r>
    <x v="0"/>
    <s v="国分寺市"/>
    <x v="39"/>
    <x v="9"/>
    <n v="166"/>
    <n v="8.65"/>
    <n v="61"/>
    <n v="8.6"/>
    <n v="105"/>
    <n v="8.75"/>
    <x v="0"/>
  </r>
  <r>
    <x v="0"/>
    <s v="国分寺市"/>
    <x v="39"/>
    <x v="10"/>
    <n v="227"/>
    <n v="11.84"/>
    <n v="163"/>
    <n v="22.99"/>
    <n v="64"/>
    <n v="5.33"/>
    <x v="0"/>
  </r>
  <r>
    <x v="0"/>
    <s v="国分寺市"/>
    <x v="39"/>
    <x v="11"/>
    <n v="212"/>
    <n v="11.05"/>
    <n v="125"/>
    <n v="17.63"/>
    <n v="85"/>
    <n v="7.08"/>
    <x v="3"/>
  </r>
  <r>
    <x v="0"/>
    <s v="国分寺市"/>
    <x v="39"/>
    <x v="12"/>
    <n v="120"/>
    <n v="6.26"/>
    <n v="80"/>
    <n v="11.28"/>
    <n v="35"/>
    <n v="2.92"/>
    <x v="21"/>
  </r>
  <r>
    <x v="0"/>
    <s v="国分寺市"/>
    <x v="39"/>
    <x v="13"/>
    <n v="144"/>
    <n v="7.51"/>
    <n v="90"/>
    <n v="12.69"/>
    <n v="52"/>
    <n v="4.33"/>
    <x v="0"/>
  </r>
  <r>
    <x v="0"/>
    <s v="国分寺市"/>
    <x v="39"/>
    <x v="14"/>
    <n v="55"/>
    <n v="2.87"/>
    <n v="11"/>
    <n v="1.55"/>
    <n v="44"/>
    <n v="3.67"/>
    <x v="0"/>
  </r>
  <r>
    <x v="0"/>
    <s v="国立市"/>
    <x v="40"/>
    <x v="0"/>
    <n v="0"/>
    <n v="0"/>
    <n v="0"/>
    <n v="0"/>
    <n v="0"/>
    <n v="0"/>
    <x v="0"/>
  </r>
  <r>
    <x v="0"/>
    <s v="国立市"/>
    <x v="40"/>
    <x v="1"/>
    <n v="132"/>
    <n v="8.58"/>
    <n v="15"/>
    <n v="2.29"/>
    <n v="117"/>
    <n v="13.3"/>
    <x v="0"/>
  </r>
  <r>
    <x v="0"/>
    <s v="国立市"/>
    <x v="40"/>
    <x v="2"/>
    <n v="46"/>
    <n v="2.99"/>
    <n v="8"/>
    <n v="1.22"/>
    <n v="38"/>
    <n v="4.32"/>
    <x v="0"/>
  </r>
  <r>
    <x v="0"/>
    <s v="国立市"/>
    <x v="40"/>
    <x v="3"/>
    <n v="1"/>
    <n v="7.0000000000000007E-2"/>
    <n v="0"/>
    <n v="0"/>
    <n v="1"/>
    <n v="0.11"/>
    <x v="0"/>
  </r>
  <r>
    <x v="0"/>
    <s v="国立市"/>
    <x v="40"/>
    <x v="4"/>
    <n v="40"/>
    <n v="2.6"/>
    <n v="1"/>
    <n v="0.15"/>
    <n v="39"/>
    <n v="4.43"/>
    <x v="0"/>
  </r>
  <r>
    <x v="0"/>
    <s v="国立市"/>
    <x v="40"/>
    <x v="5"/>
    <n v="10"/>
    <n v="0.65"/>
    <n v="0"/>
    <n v="0"/>
    <n v="10"/>
    <n v="1.1399999999999999"/>
    <x v="0"/>
  </r>
  <r>
    <x v="0"/>
    <s v="国立市"/>
    <x v="40"/>
    <x v="6"/>
    <n v="297"/>
    <n v="19.309999999999999"/>
    <n v="122"/>
    <n v="18.649999999999999"/>
    <n v="175"/>
    <n v="19.89"/>
    <x v="0"/>
  </r>
  <r>
    <x v="0"/>
    <s v="国立市"/>
    <x v="40"/>
    <x v="7"/>
    <n v="5"/>
    <n v="0.33"/>
    <n v="1"/>
    <n v="0.15"/>
    <n v="4"/>
    <n v="0.45"/>
    <x v="0"/>
  </r>
  <r>
    <x v="0"/>
    <s v="国立市"/>
    <x v="40"/>
    <x v="8"/>
    <n v="260"/>
    <n v="16.91"/>
    <n v="59"/>
    <n v="9.02"/>
    <n v="201"/>
    <n v="22.84"/>
    <x v="0"/>
  </r>
  <r>
    <x v="0"/>
    <s v="国立市"/>
    <x v="40"/>
    <x v="9"/>
    <n v="126"/>
    <n v="8.19"/>
    <n v="45"/>
    <n v="6.88"/>
    <n v="81"/>
    <n v="9.1999999999999993"/>
    <x v="0"/>
  </r>
  <r>
    <x v="0"/>
    <s v="国立市"/>
    <x v="40"/>
    <x v="10"/>
    <n v="180"/>
    <n v="11.7"/>
    <n v="132"/>
    <n v="20.18"/>
    <n v="48"/>
    <n v="5.45"/>
    <x v="0"/>
  </r>
  <r>
    <x v="0"/>
    <s v="国立市"/>
    <x v="40"/>
    <x v="11"/>
    <n v="182"/>
    <n v="11.83"/>
    <n v="124"/>
    <n v="18.96"/>
    <n v="58"/>
    <n v="6.59"/>
    <x v="0"/>
  </r>
  <r>
    <x v="0"/>
    <s v="国立市"/>
    <x v="40"/>
    <x v="12"/>
    <n v="82"/>
    <n v="5.33"/>
    <n v="48"/>
    <n v="7.34"/>
    <n v="33"/>
    <n v="3.75"/>
    <x v="0"/>
  </r>
  <r>
    <x v="0"/>
    <s v="国立市"/>
    <x v="40"/>
    <x v="13"/>
    <n v="124"/>
    <n v="8.06"/>
    <n v="88"/>
    <n v="13.46"/>
    <n v="36"/>
    <n v="4.09"/>
    <x v="0"/>
  </r>
  <r>
    <x v="0"/>
    <s v="国立市"/>
    <x v="40"/>
    <x v="14"/>
    <n v="53"/>
    <n v="3.45"/>
    <n v="11"/>
    <n v="1.68"/>
    <n v="39"/>
    <n v="4.43"/>
    <x v="0"/>
  </r>
  <r>
    <x v="0"/>
    <s v="福生市"/>
    <x v="41"/>
    <x v="0"/>
    <n v="0"/>
    <n v="0"/>
    <n v="0"/>
    <n v="0"/>
    <n v="0"/>
    <n v="0"/>
    <x v="0"/>
  </r>
  <r>
    <x v="0"/>
    <s v="福生市"/>
    <x v="41"/>
    <x v="1"/>
    <n v="123"/>
    <n v="13.23"/>
    <n v="34"/>
    <n v="7.69"/>
    <n v="89"/>
    <n v="18.46"/>
    <x v="0"/>
  </r>
  <r>
    <x v="0"/>
    <s v="福生市"/>
    <x v="41"/>
    <x v="2"/>
    <n v="52"/>
    <n v="5.59"/>
    <n v="10"/>
    <n v="2.2599999999999998"/>
    <n v="42"/>
    <n v="8.7100000000000009"/>
    <x v="0"/>
  </r>
  <r>
    <x v="0"/>
    <s v="福生市"/>
    <x v="41"/>
    <x v="3"/>
    <n v="0"/>
    <n v="0"/>
    <n v="0"/>
    <n v="0"/>
    <n v="0"/>
    <n v="0"/>
    <x v="0"/>
  </r>
  <r>
    <x v="0"/>
    <s v="福生市"/>
    <x v="41"/>
    <x v="4"/>
    <n v="8"/>
    <n v="0.86"/>
    <n v="2"/>
    <n v="0.45"/>
    <n v="6"/>
    <n v="1.24"/>
    <x v="0"/>
  </r>
  <r>
    <x v="0"/>
    <s v="福生市"/>
    <x v="41"/>
    <x v="5"/>
    <n v="5"/>
    <n v="0.54"/>
    <n v="0"/>
    <n v="0"/>
    <n v="5"/>
    <n v="1.04"/>
    <x v="0"/>
  </r>
  <r>
    <x v="0"/>
    <s v="福生市"/>
    <x v="41"/>
    <x v="6"/>
    <n v="218"/>
    <n v="23.44"/>
    <n v="85"/>
    <n v="19.23"/>
    <n v="133"/>
    <n v="27.59"/>
    <x v="0"/>
  </r>
  <r>
    <x v="0"/>
    <s v="福生市"/>
    <x v="41"/>
    <x v="7"/>
    <n v="6"/>
    <n v="0.65"/>
    <n v="1"/>
    <n v="0.23"/>
    <n v="5"/>
    <n v="1.04"/>
    <x v="0"/>
  </r>
  <r>
    <x v="0"/>
    <s v="福生市"/>
    <x v="41"/>
    <x v="8"/>
    <n v="91"/>
    <n v="9.7799999999999994"/>
    <n v="11"/>
    <n v="2.4900000000000002"/>
    <n v="80"/>
    <n v="16.600000000000001"/>
    <x v="0"/>
  </r>
  <r>
    <x v="0"/>
    <s v="福生市"/>
    <x v="41"/>
    <x v="9"/>
    <n v="42"/>
    <n v="4.5199999999999996"/>
    <n v="19"/>
    <n v="4.3"/>
    <n v="22"/>
    <n v="4.5599999999999996"/>
    <x v="0"/>
  </r>
  <r>
    <x v="0"/>
    <s v="福生市"/>
    <x v="41"/>
    <x v="10"/>
    <n v="147"/>
    <n v="15.81"/>
    <n v="126"/>
    <n v="28.51"/>
    <n v="21"/>
    <n v="4.3600000000000003"/>
    <x v="0"/>
  </r>
  <r>
    <x v="0"/>
    <s v="福生市"/>
    <x v="41"/>
    <x v="11"/>
    <n v="129"/>
    <n v="13.87"/>
    <n v="98"/>
    <n v="22.17"/>
    <n v="31"/>
    <n v="6.43"/>
    <x v="0"/>
  </r>
  <r>
    <x v="0"/>
    <s v="福生市"/>
    <x v="41"/>
    <x v="12"/>
    <n v="31"/>
    <n v="3.33"/>
    <n v="20"/>
    <n v="4.5199999999999996"/>
    <n v="7"/>
    <n v="1.45"/>
    <x v="0"/>
  </r>
  <r>
    <x v="0"/>
    <s v="福生市"/>
    <x v="41"/>
    <x v="13"/>
    <n v="49"/>
    <n v="5.27"/>
    <n v="31"/>
    <n v="7.01"/>
    <n v="18"/>
    <n v="3.73"/>
    <x v="0"/>
  </r>
  <r>
    <x v="0"/>
    <s v="福生市"/>
    <x v="41"/>
    <x v="14"/>
    <n v="29"/>
    <n v="3.12"/>
    <n v="5"/>
    <n v="1.1299999999999999"/>
    <n v="23"/>
    <n v="4.7699999999999996"/>
    <x v="21"/>
  </r>
  <r>
    <x v="0"/>
    <s v="狛江市"/>
    <x v="42"/>
    <x v="0"/>
    <n v="0"/>
    <n v="0"/>
    <n v="0"/>
    <n v="0"/>
    <n v="0"/>
    <n v="0"/>
    <x v="0"/>
  </r>
  <r>
    <x v="0"/>
    <s v="狛江市"/>
    <x v="42"/>
    <x v="1"/>
    <n v="217"/>
    <n v="17.43"/>
    <n v="42"/>
    <n v="8.3000000000000007"/>
    <n v="175"/>
    <n v="23.71"/>
    <x v="0"/>
  </r>
  <r>
    <x v="0"/>
    <s v="狛江市"/>
    <x v="42"/>
    <x v="2"/>
    <n v="60"/>
    <n v="4.82"/>
    <n v="10"/>
    <n v="1.98"/>
    <n v="50"/>
    <n v="6.78"/>
    <x v="0"/>
  </r>
  <r>
    <x v="0"/>
    <s v="狛江市"/>
    <x v="42"/>
    <x v="3"/>
    <n v="0"/>
    <n v="0"/>
    <n v="0"/>
    <n v="0"/>
    <n v="0"/>
    <n v="0"/>
    <x v="0"/>
  </r>
  <r>
    <x v="0"/>
    <s v="狛江市"/>
    <x v="42"/>
    <x v="4"/>
    <n v="33"/>
    <n v="2.65"/>
    <n v="2"/>
    <n v="0.4"/>
    <n v="31"/>
    <n v="4.2"/>
    <x v="0"/>
  </r>
  <r>
    <x v="0"/>
    <s v="狛江市"/>
    <x v="42"/>
    <x v="5"/>
    <n v="6"/>
    <n v="0.48"/>
    <n v="1"/>
    <n v="0.2"/>
    <n v="5"/>
    <n v="0.68"/>
    <x v="0"/>
  </r>
  <r>
    <x v="0"/>
    <s v="狛江市"/>
    <x v="42"/>
    <x v="6"/>
    <n v="227"/>
    <n v="18.23"/>
    <n v="89"/>
    <n v="17.59"/>
    <n v="138"/>
    <n v="18.7"/>
    <x v="0"/>
  </r>
  <r>
    <x v="0"/>
    <s v="狛江市"/>
    <x v="42"/>
    <x v="7"/>
    <n v="6"/>
    <n v="0.48"/>
    <n v="2"/>
    <n v="0.4"/>
    <n v="4"/>
    <n v="0.54"/>
    <x v="0"/>
  </r>
  <r>
    <x v="0"/>
    <s v="狛江市"/>
    <x v="42"/>
    <x v="8"/>
    <n v="221"/>
    <n v="17.75"/>
    <n v="82"/>
    <n v="16.21"/>
    <n v="139"/>
    <n v="18.829999999999998"/>
    <x v="0"/>
  </r>
  <r>
    <x v="0"/>
    <s v="狛江市"/>
    <x v="42"/>
    <x v="9"/>
    <n v="78"/>
    <n v="6.27"/>
    <n v="17"/>
    <n v="3.36"/>
    <n v="61"/>
    <n v="8.27"/>
    <x v="0"/>
  </r>
  <r>
    <x v="0"/>
    <s v="狛江市"/>
    <x v="42"/>
    <x v="10"/>
    <n v="135"/>
    <n v="10.84"/>
    <n v="101"/>
    <n v="19.96"/>
    <n v="34"/>
    <n v="4.6100000000000003"/>
    <x v="0"/>
  </r>
  <r>
    <x v="0"/>
    <s v="狛江市"/>
    <x v="42"/>
    <x v="11"/>
    <n v="136"/>
    <n v="10.92"/>
    <n v="102"/>
    <n v="20.16"/>
    <n v="34"/>
    <n v="4.6100000000000003"/>
    <x v="0"/>
  </r>
  <r>
    <x v="0"/>
    <s v="狛江市"/>
    <x v="42"/>
    <x v="12"/>
    <n v="35"/>
    <n v="2.81"/>
    <n v="16"/>
    <n v="3.16"/>
    <n v="19"/>
    <n v="2.57"/>
    <x v="0"/>
  </r>
  <r>
    <x v="0"/>
    <s v="狛江市"/>
    <x v="42"/>
    <x v="13"/>
    <n v="57"/>
    <n v="4.58"/>
    <n v="34"/>
    <n v="6.72"/>
    <n v="23"/>
    <n v="3.12"/>
    <x v="0"/>
  </r>
  <r>
    <x v="0"/>
    <s v="狛江市"/>
    <x v="42"/>
    <x v="14"/>
    <n v="34"/>
    <n v="2.73"/>
    <n v="8"/>
    <n v="1.58"/>
    <n v="25"/>
    <n v="3.39"/>
    <x v="21"/>
  </r>
  <r>
    <x v="0"/>
    <s v="東大和市"/>
    <x v="43"/>
    <x v="0"/>
    <n v="0"/>
    <n v="0"/>
    <n v="0"/>
    <n v="0"/>
    <n v="0"/>
    <n v="0"/>
    <x v="0"/>
  </r>
  <r>
    <x v="0"/>
    <s v="東大和市"/>
    <x v="43"/>
    <x v="1"/>
    <n v="326"/>
    <n v="22.19"/>
    <n v="59"/>
    <n v="9.66"/>
    <n v="267"/>
    <n v="31.64"/>
    <x v="0"/>
  </r>
  <r>
    <x v="0"/>
    <s v="東大和市"/>
    <x v="43"/>
    <x v="2"/>
    <n v="83"/>
    <n v="5.65"/>
    <n v="19"/>
    <n v="3.11"/>
    <n v="64"/>
    <n v="7.58"/>
    <x v="0"/>
  </r>
  <r>
    <x v="0"/>
    <s v="東大和市"/>
    <x v="43"/>
    <x v="3"/>
    <n v="0"/>
    <n v="0"/>
    <n v="0"/>
    <n v="0"/>
    <n v="0"/>
    <n v="0"/>
    <x v="0"/>
  </r>
  <r>
    <x v="0"/>
    <s v="東大和市"/>
    <x v="43"/>
    <x v="4"/>
    <n v="13"/>
    <n v="0.88"/>
    <n v="1"/>
    <n v="0.16"/>
    <n v="12"/>
    <n v="1.42"/>
    <x v="0"/>
  </r>
  <r>
    <x v="0"/>
    <s v="東大和市"/>
    <x v="43"/>
    <x v="5"/>
    <n v="14"/>
    <n v="0.95"/>
    <n v="5"/>
    <n v="0.82"/>
    <n v="9"/>
    <n v="1.07"/>
    <x v="0"/>
  </r>
  <r>
    <x v="0"/>
    <s v="東大和市"/>
    <x v="43"/>
    <x v="6"/>
    <n v="263"/>
    <n v="17.899999999999999"/>
    <n v="116"/>
    <n v="18.989999999999998"/>
    <n v="147"/>
    <n v="17.420000000000002"/>
    <x v="0"/>
  </r>
  <r>
    <x v="0"/>
    <s v="東大和市"/>
    <x v="43"/>
    <x v="7"/>
    <n v="6"/>
    <n v="0.41"/>
    <n v="1"/>
    <n v="0.16"/>
    <n v="5"/>
    <n v="0.59"/>
    <x v="0"/>
  </r>
  <r>
    <x v="0"/>
    <s v="東大和市"/>
    <x v="43"/>
    <x v="8"/>
    <n v="140"/>
    <n v="9.5299999999999994"/>
    <n v="4"/>
    <n v="0.65"/>
    <n v="136"/>
    <n v="16.11"/>
    <x v="0"/>
  </r>
  <r>
    <x v="0"/>
    <s v="東大和市"/>
    <x v="43"/>
    <x v="9"/>
    <n v="85"/>
    <n v="5.79"/>
    <n v="39"/>
    <n v="6.38"/>
    <n v="46"/>
    <n v="5.45"/>
    <x v="0"/>
  </r>
  <r>
    <x v="0"/>
    <s v="東大和市"/>
    <x v="43"/>
    <x v="10"/>
    <n v="163"/>
    <n v="11.1"/>
    <n v="128"/>
    <n v="20.95"/>
    <n v="35"/>
    <n v="4.1500000000000004"/>
    <x v="0"/>
  </r>
  <r>
    <x v="0"/>
    <s v="東大和市"/>
    <x v="43"/>
    <x v="11"/>
    <n v="169"/>
    <n v="11.5"/>
    <n v="126"/>
    <n v="20.62"/>
    <n v="43"/>
    <n v="5.09"/>
    <x v="0"/>
  </r>
  <r>
    <x v="0"/>
    <s v="東大和市"/>
    <x v="43"/>
    <x v="12"/>
    <n v="70"/>
    <n v="4.7699999999999996"/>
    <n v="48"/>
    <n v="7.86"/>
    <n v="15"/>
    <n v="1.78"/>
    <x v="0"/>
  </r>
  <r>
    <x v="0"/>
    <s v="東大和市"/>
    <x v="43"/>
    <x v="13"/>
    <n v="79"/>
    <n v="5.38"/>
    <n v="52"/>
    <n v="8.51"/>
    <n v="23"/>
    <n v="2.73"/>
    <x v="0"/>
  </r>
  <r>
    <x v="0"/>
    <s v="東大和市"/>
    <x v="43"/>
    <x v="14"/>
    <n v="58"/>
    <n v="3.95"/>
    <n v="13"/>
    <n v="2.13"/>
    <n v="42"/>
    <n v="4.9800000000000004"/>
    <x v="0"/>
  </r>
  <r>
    <x v="0"/>
    <s v="清瀬市"/>
    <x v="44"/>
    <x v="0"/>
    <n v="0"/>
    <n v="0"/>
    <n v="0"/>
    <n v="0"/>
    <n v="0"/>
    <n v="0"/>
    <x v="0"/>
  </r>
  <r>
    <x v="0"/>
    <s v="清瀬市"/>
    <x v="44"/>
    <x v="1"/>
    <n v="171"/>
    <n v="15.79"/>
    <n v="29"/>
    <n v="5.72"/>
    <n v="142"/>
    <n v="25.59"/>
    <x v="0"/>
  </r>
  <r>
    <x v="0"/>
    <s v="清瀬市"/>
    <x v="44"/>
    <x v="2"/>
    <n v="35"/>
    <n v="3.23"/>
    <n v="9"/>
    <n v="1.78"/>
    <n v="26"/>
    <n v="4.68"/>
    <x v="0"/>
  </r>
  <r>
    <x v="0"/>
    <s v="清瀬市"/>
    <x v="44"/>
    <x v="3"/>
    <n v="2"/>
    <n v="0.18"/>
    <n v="0"/>
    <n v="0"/>
    <n v="2"/>
    <n v="0.36"/>
    <x v="0"/>
  </r>
  <r>
    <x v="0"/>
    <s v="清瀬市"/>
    <x v="44"/>
    <x v="4"/>
    <n v="13"/>
    <n v="1.2"/>
    <n v="1"/>
    <n v="0.2"/>
    <n v="12"/>
    <n v="2.16"/>
    <x v="0"/>
  </r>
  <r>
    <x v="0"/>
    <s v="清瀬市"/>
    <x v="44"/>
    <x v="5"/>
    <n v="5"/>
    <n v="0.46"/>
    <n v="3"/>
    <n v="0.59"/>
    <n v="2"/>
    <n v="0.36"/>
    <x v="0"/>
  </r>
  <r>
    <x v="0"/>
    <s v="清瀬市"/>
    <x v="44"/>
    <x v="6"/>
    <n v="224"/>
    <n v="20.68"/>
    <n v="113"/>
    <n v="22.29"/>
    <n v="111"/>
    <n v="20"/>
    <x v="0"/>
  </r>
  <r>
    <x v="0"/>
    <s v="清瀬市"/>
    <x v="44"/>
    <x v="7"/>
    <n v="7"/>
    <n v="0.65"/>
    <n v="2"/>
    <n v="0.39"/>
    <n v="5"/>
    <n v="0.9"/>
    <x v="0"/>
  </r>
  <r>
    <x v="0"/>
    <s v="清瀬市"/>
    <x v="44"/>
    <x v="8"/>
    <n v="102"/>
    <n v="9.42"/>
    <n v="23"/>
    <n v="4.54"/>
    <n v="79"/>
    <n v="14.23"/>
    <x v="0"/>
  </r>
  <r>
    <x v="0"/>
    <s v="清瀬市"/>
    <x v="44"/>
    <x v="9"/>
    <n v="57"/>
    <n v="5.26"/>
    <n v="21"/>
    <n v="4.1399999999999997"/>
    <n v="36"/>
    <n v="6.49"/>
    <x v="0"/>
  </r>
  <r>
    <x v="0"/>
    <s v="清瀬市"/>
    <x v="44"/>
    <x v="10"/>
    <n v="124"/>
    <n v="11.45"/>
    <n v="96"/>
    <n v="18.93"/>
    <n v="28"/>
    <n v="5.05"/>
    <x v="0"/>
  </r>
  <r>
    <x v="0"/>
    <s v="清瀬市"/>
    <x v="44"/>
    <x v="11"/>
    <n v="160"/>
    <n v="14.77"/>
    <n v="118"/>
    <n v="23.27"/>
    <n v="42"/>
    <n v="7.57"/>
    <x v="0"/>
  </r>
  <r>
    <x v="0"/>
    <s v="清瀬市"/>
    <x v="44"/>
    <x v="12"/>
    <n v="62"/>
    <n v="5.72"/>
    <n v="43"/>
    <n v="8.48"/>
    <n v="15"/>
    <n v="2.7"/>
    <x v="0"/>
  </r>
  <r>
    <x v="0"/>
    <s v="清瀬市"/>
    <x v="44"/>
    <x v="13"/>
    <n v="84"/>
    <n v="7.76"/>
    <n v="43"/>
    <n v="8.48"/>
    <n v="25"/>
    <n v="4.5"/>
    <x v="0"/>
  </r>
  <r>
    <x v="0"/>
    <s v="清瀬市"/>
    <x v="44"/>
    <x v="14"/>
    <n v="37"/>
    <n v="3.42"/>
    <n v="6"/>
    <n v="1.18"/>
    <n v="30"/>
    <n v="5.41"/>
    <x v="0"/>
  </r>
  <r>
    <x v="0"/>
    <s v="東久留米市"/>
    <x v="45"/>
    <x v="0"/>
    <n v="0"/>
    <n v="0"/>
    <n v="0"/>
    <n v="0"/>
    <n v="0"/>
    <n v="0"/>
    <x v="0"/>
  </r>
  <r>
    <x v="0"/>
    <s v="東久留米市"/>
    <x v="45"/>
    <x v="1"/>
    <n v="376"/>
    <n v="20.54"/>
    <n v="80"/>
    <n v="11.19"/>
    <n v="296"/>
    <n v="26.71"/>
    <x v="0"/>
  </r>
  <r>
    <x v="0"/>
    <s v="東久留米市"/>
    <x v="45"/>
    <x v="2"/>
    <n v="113"/>
    <n v="6.17"/>
    <n v="14"/>
    <n v="1.96"/>
    <n v="99"/>
    <n v="8.94"/>
    <x v="0"/>
  </r>
  <r>
    <x v="0"/>
    <s v="東久留米市"/>
    <x v="45"/>
    <x v="3"/>
    <n v="2"/>
    <n v="0.11"/>
    <n v="0"/>
    <n v="0"/>
    <n v="2"/>
    <n v="0.18"/>
    <x v="0"/>
  </r>
  <r>
    <x v="0"/>
    <s v="東久留米市"/>
    <x v="45"/>
    <x v="4"/>
    <n v="54"/>
    <n v="2.95"/>
    <n v="2"/>
    <n v="0.28000000000000003"/>
    <n v="52"/>
    <n v="4.6900000000000004"/>
    <x v="0"/>
  </r>
  <r>
    <x v="0"/>
    <s v="東久留米市"/>
    <x v="45"/>
    <x v="5"/>
    <n v="13"/>
    <n v="0.71"/>
    <n v="3"/>
    <n v="0.42"/>
    <n v="10"/>
    <n v="0.9"/>
    <x v="0"/>
  </r>
  <r>
    <x v="0"/>
    <s v="東久留米市"/>
    <x v="45"/>
    <x v="6"/>
    <n v="299"/>
    <n v="16.329999999999998"/>
    <n v="116"/>
    <n v="16.22"/>
    <n v="183"/>
    <n v="16.52"/>
    <x v="0"/>
  </r>
  <r>
    <x v="0"/>
    <s v="東久留米市"/>
    <x v="45"/>
    <x v="7"/>
    <n v="15"/>
    <n v="0.82"/>
    <n v="3"/>
    <n v="0.42"/>
    <n v="12"/>
    <n v="1.08"/>
    <x v="0"/>
  </r>
  <r>
    <x v="0"/>
    <s v="東久留米市"/>
    <x v="45"/>
    <x v="8"/>
    <n v="236"/>
    <n v="12.89"/>
    <n v="64"/>
    <n v="8.9499999999999993"/>
    <n v="171"/>
    <n v="15.43"/>
    <x v="21"/>
  </r>
  <r>
    <x v="0"/>
    <s v="東久留米市"/>
    <x v="45"/>
    <x v="9"/>
    <n v="109"/>
    <n v="5.95"/>
    <n v="49"/>
    <n v="6.85"/>
    <n v="59"/>
    <n v="5.32"/>
    <x v="0"/>
  </r>
  <r>
    <x v="0"/>
    <s v="東久留米市"/>
    <x v="45"/>
    <x v="10"/>
    <n v="146"/>
    <n v="7.97"/>
    <n v="106"/>
    <n v="14.83"/>
    <n v="40"/>
    <n v="3.61"/>
    <x v="0"/>
  </r>
  <r>
    <x v="0"/>
    <s v="東久留米市"/>
    <x v="45"/>
    <x v="11"/>
    <n v="193"/>
    <n v="10.54"/>
    <n v="121"/>
    <n v="16.920000000000002"/>
    <n v="72"/>
    <n v="6.5"/>
    <x v="0"/>
  </r>
  <r>
    <x v="0"/>
    <s v="東久留米市"/>
    <x v="45"/>
    <x v="12"/>
    <n v="100"/>
    <n v="5.46"/>
    <n v="69"/>
    <n v="9.65"/>
    <n v="29"/>
    <n v="2.62"/>
    <x v="0"/>
  </r>
  <r>
    <x v="0"/>
    <s v="東久留米市"/>
    <x v="45"/>
    <x v="13"/>
    <n v="117"/>
    <n v="6.39"/>
    <n v="72"/>
    <n v="10.07"/>
    <n v="41"/>
    <n v="3.7"/>
    <x v="0"/>
  </r>
  <r>
    <x v="0"/>
    <s v="東久留米市"/>
    <x v="45"/>
    <x v="14"/>
    <n v="58"/>
    <n v="3.17"/>
    <n v="16"/>
    <n v="2.2400000000000002"/>
    <n v="42"/>
    <n v="3.79"/>
    <x v="0"/>
  </r>
  <r>
    <x v="0"/>
    <s v="武蔵村山市"/>
    <x v="46"/>
    <x v="0"/>
    <n v="0"/>
    <n v="0"/>
    <n v="0"/>
    <n v="0"/>
    <n v="0"/>
    <n v="0"/>
    <x v="0"/>
  </r>
  <r>
    <x v="0"/>
    <s v="武蔵村山市"/>
    <x v="46"/>
    <x v="1"/>
    <n v="352"/>
    <n v="26"/>
    <n v="64"/>
    <n v="13.09"/>
    <n v="288"/>
    <n v="33.68"/>
    <x v="0"/>
  </r>
  <r>
    <x v="0"/>
    <s v="武蔵村山市"/>
    <x v="46"/>
    <x v="2"/>
    <n v="182"/>
    <n v="13.44"/>
    <n v="29"/>
    <n v="5.93"/>
    <n v="153"/>
    <n v="17.89"/>
    <x v="0"/>
  </r>
  <r>
    <x v="0"/>
    <s v="武蔵村山市"/>
    <x v="46"/>
    <x v="3"/>
    <n v="1"/>
    <n v="7.0000000000000007E-2"/>
    <n v="0"/>
    <n v="0"/>
    <n v="1"/>
    <n v="0.12"/>
    <x v="0"/>
  </r>
  <r>
    <x v="0"/>
    <s v="武蔵村山市"/>
    <x v="46"/>
    <x v="4"/>
    <n v="7"/>
    <n v="0.52"/>
    <n v="0"/>
    <n v="0"/>
    <n v="7"/>
    <n v="0.82"/>
    <x v="0"/>
  </r>
  <r>
    <x v="0"/>
    <s v="武蔵村山市"/>
    <x v="46"/>
    <x v="5"/>
    <n v="16"/>
    <n v="1.18"/>
    <n v="4"/>
    <n v="0.82"/>
    <n v="12"/>
    <n v="1.4"/>
    <x v="0"/>
  </r>
  <r>
    <x v="0"/>
    <s v="武蔵村山市"/>
    <x v="46"/>
    <x v="6"/>
    <n v="264"/>
    <n v="19.5"/>
    <n v="98"/>
    <n v="20.04"/>
    <n v="166"/>
    <n v="19.420000000000002"/>
    <x v="0"/>
  </r>
  <r>
    <x v="0"/>
    <s v="武蔵村山市"/>
    <x v="46"/>
    <x v="7"/>
    <n v="3"/>
    <n v="0.22"/>
    <n v="1"/>
    <n v="0.2"/>
    <n v="2"/>
    <n v="0.23"/>
    <x v="0"/>
  </r>
  <r>
    <x v="0"/>
    <s v="武蔵村山市"/>
    <x v="46"/>
    <x v="8"/>
    <n v="95"/>
    <n v="7.02"/>
    <n v="2"/>
    <n v="0.41"/>
    <n v="93"/>
    <n v="10.88"/>
    <x v="0"/>
  </r>
  <r>
    <x v="0"/>
    <s v="武蔵村山市"/>
    <x v="46"/>
    <x v="9"/>
    <n v="60"/>
    <n v="4.43"/>
    <n v="27"/>
    <n v="5.52"/>
    <n v="33"/>
    <n v="3.86"/>
    <x v="0"/>
  </r>
  <r>
    <x v="0"/>
    <s v="武蔵村山市"/>
    <x v="46"/>
    <x v="10"/>
    <n v="109"/>
    <n v="8.0500000000000007"/>
    <n v="89"/>
    <n v="18.2"/>
    <n v="20"/>
    <n v="2.34"/>
    <x v="0"/>
  </r>
  <r>
    <x v="0"/>
    <s v="武蔵村山市"/>
    <x v="46"/>
    <x v="11"/>
    <n v="116"/>
    <n v="8.57"/>
    <n v="82"/>
    <n v="16.77"/>
    <n v="34"/>
    <n v="3.98"/>
    <x v="0"/>
  </r>
  <r>
    <x v="0"/>
    <s v="武蔵村山市"/>
    <x v="46"/>
    <x v="12"/>
    <n v="43"/>
    <n v="3.18"/>
    <n v="34"/>
    <n v="6.95"/>
    <n v="6"/>
    <n v="0.7"/>
    <x v="21"/>
  </r>
  <r>
    <x v="0"/>
    <s v="武蔵村山市"/>
    <x v="46"/>
    <x v="13"/>
    <n v="50"/>
    <n v="3.69"/>
    <n v="38"/>
    <n v="7.77"/>
    <n v="11"/>
    <n v="1.29"/>
    <x v="0"/>
  </r>
  <r>
    <x v="0"/>
    <s v="武蔵村山市"/>
    <x v="46"/>
    <x v="14"/>
    <n v="56"/>
    <n v="4.1399999999999997"/>
    <n v="21"/>
    <n v="4.29"/>
    <n v="29"/>
    <n v="3.39"/>
    <x v="0"/>
  </r>
  <r>
    <x v="0"/>
    <s v="多摩市"/>
    <x v="47"/>
    <x v="0"/>
    <n v="1"/>
    <n v="0.06"/>
    <n v="0"/>
    <n v="0"/>
    <n v="1"/>
    <n v="0.08"/>
    <x v="0"/>
  </r>
  <r>
    <x v="0"/>
    <s v="多摩市"/>
    <x v="47"/>
    <x v="1"/>
    <n v="165"/>
    <n v="9.6300000000000008"/>
    <n v="12"/>
    <n v="2.48"/>
    <n v="153"/>
    <n v="12.56"/>
    <x v="0"/>
  </r>
  <r>
    <x v="0"/>
    <s v="多摩市"/>
    <x v="47"/>
    <x v="2"/>
    <n v="78"/>
    <n v="4.55"/>
    <n v="11"/>
    <n v="2.27"/>
    <n v="67"/>
    <n v="5.5"/>
    <x v="0"/>
  </r>
  <r>
    <x v="0"/>
    <s v="多摩市"/>
    <x v="47"/>
    <x v="3"/>
    <n v="3"/>
    <n v="0.18"/>
    <n v="0"/>
    <n v="0"/>
    <n v="3"/>
    <n v="0.25"/>
    <x v="0"/>
  </r>
  <r>
    <x v="0"/>
    <s v="多摩市"/>
    <x v="47"/>
    <x v="4"/>
    <n v="85"/>
    <n v="4.96"/>
    <n v="4"/>
    <n v="0.83"/>
    <n v="81"/>
    <n v="6.65"/>
    <x v="0"/>
  </r>
  <r>
    <x v="0"/>
    <s v="多摩市"/>
    <x v="47"/>
    <x v="5"/>
    <n v="10"/>
    <n v="0.57999999999999996"/>
    <n v="1"/>
    <n v="0.21"/>
    <n v="9"/>
    <n v="0.74"/>
    <x v="0"/>
  </r>
  <r>
    <x v="0"/>
    <s v="多摩市"/>
    <x v="47"/>
    <x v="6"/>
    <n v="342"/>
    <n v="19.96"/>
    <n v="63"/>
    <n v="13.02"/>
    <n v="279"/>
    <n v="22.91"/>
    <x v="0"/>
  </r>
  <r>
    <x v="0"/>
    <s v="多摩市"/>
    <x v="47"/>
    <x v="7"/>
    <n v="23"/>
    <n v="1.34"/>
    <n v="0"/>
    <n v="0"/>
    <n v="23"/>
    <n v="1.89"/>
    <x v="0"/>
  </r>
  <r>
    <x v="0"/>
    <s v="多摩市"/>
    <x v="47"/>
    <x v="8"/>
    <n v="206"/>
    <n v="12.03"/>
    <n v="20"/>
    <n v="4.13"/>
    <n v="186"/>
    <n v="15.27"/>
    <x v="0"/>
  </r>
  <r>
    <x v="0"/>
    <s v="多摩市"/>
    <x v="47"/>
    <x v="9"/>
    <n v="187"/>
    <n v="10.92"/>
    <n v="68"/>
    <n v="14.05"/>
    <n v="118"/>
    <n v="9.69"/>
    <x v="0"/>
  </r>
  <r>
    <x v="0"/>
    <s v="多摩市"/>
    <x v="47"/>
    <x v="10"/>
    <n v="128"/>
    <n v="7.47"/>
    <n v="81"/>
    <n v="16.739999999999998"/>
    <n v="47"/>
    <n v="3.86"/>
    <x v="0"/>
  </r>
  <r>
    <x v="0"/>
    <s v="多摩市"/>
    <x v="47"/>
    <x v="11"/>
    <n v="224"/>
    <n v="13.08"/>
    <n v="121"/>
    <n v="25"/>
    <n v="103"/>
    <n v="8.4600000000000009"/>
    <x v="0"/>
  </r>
  <r>
    <x v="0"/>
    <s v="多摩市"/>
    <x v="47"/>
    <x v="12"/>
    <n v="68"/>
    <n v="3.97"/>
    <n v="35"/>
    <n v="7.23"/>
    <n v="29"/>
    <n v="2.38"/>
    <x v="0"/>
  </r>
  <r>
    <x v="0"/>
    <s v="多摩市"/>
    <x v="47"/>
    <x v="13"/>
    <n v="111"/>
    <n v="6.48"/>
    <n v="58"/>
    <n v="11.98"/>
    <n v="49"/>
    <n v="4.0199999999999996"/>
    <x v="0"/>
  </r>
  <r>
    <x v="0"/>
    <s v="多摩市"/>
    <x v="47"/>
    <x v="14"/>
    <n v="82"/>
    <n v="4.79"/>
    <n v="10"/>
    <n v="2.0699999999999998"/>
    <n v="70"/>
    <n v="5.75"/>
    <x v="3"/>
  </r>
  <r>
    <x v="0"/>
    <s v="稲城市"/>
    <x v="48"/>
    <x v="0"/>
    <n v="0"/>
    <n v="0"/>
    <n v="0"/>
    <n v="0"/>
    <n v="0"/>
    <n v="0"/>
    <x v="0"/>
  </r>
  <r>
    <x v="0"/>
    <s v="稲城市"/>
    <x v="48"/>
    <x v="1"/>
    <n v="213"/>
    <n v="16.16"/>
    <n v="40"/>
    <n v="7.37"/>
    <n v="172"/>
    <n v="22.51"/>
    <x v="21"/>
  </r>
  <r>
    <x v="0"/>
    <s v="稲城市"/>
    <x v="48"/>
    <x v="2"/>
    <n v="116"/>
    <n v="8.8000000000000007"/>
    <n v="30"/>
    <n v="5.52"/>
    <n v="86"/>
    <n v="11.26"/>
    <x v="0"/>
  </r>
  <r>
    <x v="0"/>
    <s v="稲城市"/>
    <x v="48"/>
    <x v="3"/>
    <n v="1"/>
    <n v="0.08"/>
    <n v="0"/>
    <n v="0"/>
    <n v="1"/>
    <n v="0.13"/>
    <x v="0"/>
  </r>
  <r>
    <x v="0"/>
    <s v="稲城市"/>
    <x v="48"/>
    <x v="4"/>
    <n v="32"/>
    <n v="2.4300000000000002"/>
    <n v="2"/>
    <n v="0.37"/>
    <n v="30"/>
    <n v="3.93"/>
    <x v="0"/>
  </r>
  <r>
    <x v="0"/>
    <s v="稲城市"/>
    <x v="48"/>
    <x v="5"/>
    <n v="13"/>
    <n v="0.99"/>
    <n v="2"/>
    <n v="0.37"/>
    <n v="11"/>
    <n v="1.44"/>
    <x v="0"/>
  </r>
  <r>
    <x v="0"/>
    <s v="稲城市"/>
    <x v="48"/>
    <x v="6"/>
    <n v="208"/>
    <n v="15.78"/>
    <n v="74"/>
    <n v="13.63"/>
    <n v="132"/>
    <n v="17.28"/>
    <x v="3"/>
  </r>
  <r>
    <x v="0"/>
    <s v="稲城市"/>
    <x v="48"/>
    <x v="7"/>
    <n v="7"/>
    <n v="0.53"/>
    <n v="1"/>
    <n v="0.18"/>
    <n v="6"/>
    <n v="0.79"/>
    <x v="0"/>
  </r>
  <r>
    <x v="0"/>
    <s v="稲城市"/>
    <x v="48"/>
    <x v="8"/>
    <n v="246"/>
    <n v="18.66"/>
    <n v="144"/>
    <n v="26.52"/>
    <n v="102"/>
    <n v="13.35"/>
    <x v="0"/>
  </r>
  <r>
    <x v="0"/>
    <s v="稲城市"/>
    <x v="48"/>
    <x v="9"/>
    <n v="96"/>
    <n v="7.28"/>
    <n v="17"/>
    <n v="3.13"/>
    <n v="78"/>
    <n v="10.210000000000001"/>
    <x v="0"/>
  </r>
  <r>
    <x v="0"/>
    <s v="稲城市"/>
    <x v="48"/>
    <x v="10"/>
    <n v="100"/>
    <n v="7.59"/>
    <n v="73"/>
    <n v="13.44"/>
    <n v="26"/>
    <n v="3.4"/>
    <x v="0"/>
  </r>
  <r>
    <x v="0"/>
    <s v="稲城市"/>
    <x v="48"/>
    <x v="11"/>
    <n v="127"/>
    <n v="9.64"/>
    <n v="82"/>
    <n v="15.1"/>
    <n v="44"/>
    <n v="5.76"/>
    <x v="0"/>
  </r>
  <r>
    <x v="0"/>
    <s v="稲城市"/>
    <x v="48"/>
    <x v="12"/>
    <n v="43"/>
    <n v="3.26"/>
    <n v="27"/>
    <n v="4.97"/>
    <n v="14"/>
    <n v="1.83"/>
    <x v="0"/>
  </r>
  <r>
    <x v="0"/>
    <s v="稲城市"/>
    <x v="48"/>
    <x v="13"/>
    <n v="62"/>
    <n v="4.7"/>
    <n v="38"/>
    <n v="7"/>
    <n v="24"/>
    <n v="3.14"/>
    <x v="0"/>
  </r>
  <r>
    <x v="0"/>
    <s v="稲城市"/>
    <x v="48"/>
    <x v="14"/>
    <n v="54"/>
    <n v="4.0999999999999996"/>
    <n v="13"/>
    <n v="2.39"/>
    <n v="38"/>
    <n v="4.97"/>
    <x v="3"/>
  </r>
  <r>
    <x v="0"/>
    <s v="羽村市"/>
    <x v="49"/>
    <x v="0"/>
    <n v="0"/>
    <n v="0"/>
    <n v="0"/>
    <n v="0"/>
    <n v="0"/>
    <n v="0"/>
    <x v="0"/>
  </r>
  <r>
    <x v="0"/>
    <s v="羽村市"/>
    <x v="49"/>
    <x v="1"/>
    <n v="120"/>
    <n v="11.74"/>
    <n v="27"/>
    <n v="5.38"/>
    <n v="93"/>
    <n v="18.02"/>
    <x v="0"/>
  </r>
  <r>
    <x v="0"/>
    <s v="羽村市"/>
    <x v="49"/>
    <x v="2"/>
    <n v="68"/>
    <n v="6.65"/>
    <n v="14"/>
    <n v="2.79"/>
    <n v="54"/>
    <n v="10.47"/>
    <x v="0"/>
  </r>
  <r>
    <x v="0"/>
    <s v="羽村市"/>
    <x v="49"/>
    <x v="3"/>
    <n v="1"/>
    <n v="0.1"/>
    <n v="0"/>
    <n v="0"/>
    <n v="0"/>
    <n v="0"/>
    <x v="0"/>
  </r>
  <r>
    <x v="0"/>
    <s v="羽村市"/>
    <x v="49"/>
    <x v="4"/>
    <n v="14"/>
    <n v="1.37"/>
    <n v="1"/>
    <n v="0.2"/>
    <n v="13"/>
    <n v="2.52"/>
    <x v="0"/>
  </r>
  <r>
    <x v="0"/>
    <s v="羽村市"/>
    <x v="49"/>
    <x v="5"/>
    <n v="13"/>
    <n v="1.27"/>
    <n v="1"/>
    <n v="0.2"/>
    <n v="12"/>
    <n v="2.33"/>
    <x v="0"/>
  </r>
  <r>
    <x v="0"/>
    <s v="羽村市"/>
    <x v="49"/>
    <x v="6"/>
    <n v="164"/>
    <n v="16.05"/>
    <n v="62"/>
    <n v="12.35"/>
    <n v="102"/>
    <n v="19.77"/>
    <x v="0"/>
  </r>
  <r>
    <x v="0"/>
    <s v="羽村市"/>
    <x v="49"/>
    <x v="7"/>
    <n v="5"/>
    <n v="0.49"/>
    <n v="1"/>
    <n v="0.2"/>
    <n v="4"/>
    <n v="0.78"/>
    <x v="0"/>
  </r>
  <r>
    <x v="0"/>
    <s v="羽村市"/>
    <x v="49"/>
    <x v="8"/>
    <n v="105"/>
    <n v="10.27"/>
    <n v="8"/>
    <n v="1.59"/>
    <n v="97"/>
    <n v="18.8"/>
    <x v="0"/>
  </r>
  <r>
    <x v="0"/>
    <s v="羽村市"/>
    <x v="49"/>
    <x v="9"/>
    <n v="49"/>
    <n v="4.79"/>
    <n v="28"/>
    <n v="5.58"/>
    <n v="21"/>
    <n v="4.07"/>
    <x v="0"/>
  </r>
  <r>
    <x v="0"/>
    <s v="羽村市"/>
    <x v="49"/>
    <x v="10"/>
    <n v="209"/>
    <n v="20.45"/>
    <n v="170"/>
    <n v="33.86"/>
    <n v="39"/>
    <n v="7.56"/>
    <x v="0"/>
  </r>
  <r>
    <x v="0"/>
    <s v="羽村市"/>
    <x v="49"/>
    <x v="11"/>
    <n v="145"/>
    <n v="14.19"/>
    <n v="110"/>
    <n v="21.91"/>
    <n v="35"/>
    <n v="6.78"/>
    <x v="0"/>
  </r>
  <r>
    <x v="0"/>
    <s v="羽村市"/>
    <x v="49"/>
    <x v="12"/>
    <n v="43"/>
    <n v="4.21"/>
    <n v="33"/>
    <n v="6.57"/>
    <n v="10"/>
    <n v="1.94"/>
    <x v="0"/>
  </r>
  <r>
    <x v="0"/>
    <s v="羽村市"/>
    <x v="49"/>
    <x v="13"/>
    <n v="58"/>
    <n v="5.68"/>
    <n v="39"/>
    <n v="7.77"/>
    <n v="17"/>
    <n v="3.29"/>
    <x v="0"/>
  </r>
  <r>
    <x v="0"/>
    <s v="羽村市"/>
    <x v="49"/>
    <x v="14"/>
    <n v="28"/>
    <n v="2.74"/>
    <n v="8"/>
    <n v="1.59"/>
    <n v="19"/>
    <n v="3.68"/>
    <x v="0"/>
  </r>
  <r>
    <x v="0"/>
    <s v="あきる野市"/>
    <x v="50"/>
    <x v="0"/>
    <n v="0"/>
    <n v="0"/>
    <n v="0"/>
    <n v="0"/>
    <n v="0"/>
    <n v="0"/>
    <x v="0"/>
  </r>
  <r>
    <x v="0"/>
    <s v="あきる野市"/>
    <x v="50"/>
    <x v="1"/>
    <n v="318"/>
    <n v="23.38"/>
    <n v="109"/>
    <n v="16.34"/>
    <n v="209"/>
    <n v="30.69"/>
    <x v="0"/>
  </r>
  <r>
    <x v="0"/>
    <s v="あきる野市"/>
    <x v="50"/>
    <x v="2"/>
    <n v="134"/>
    <n v="9.85"/>
    <n v="40"/>
    <n v="6"/>
    <n v="94"/>
    <n v="13.8"/>
    <x v="0"/>
  </r>
  <r>
    <x v="0"/>
    <s v="あきる野市"/>
    <x v="50"/>
    <x v="3"/>
    <n v="0"/>
    <n v="0"/>
    <n v="0"/>
    <n v="0"/>
    <n v="0"/>
    <n v="0"/>
    <x v="0"/>
  </r>
  <r>
    <x v="0"/>
    <s v="あきる野市"/>
    <x v="50"/>
    <x v="4"/>
    <n v="10"/>
    <n v="0.74"/>
    <n v="0"/>
    <n v="0"/>
    <n v="10"/>
    <n v="1.47"/>
    <x v="0"/>
  </r>
  <r>
    <x v="0"/>
    <s v="あきる野市"/>
    <x v="50"/>
    <x v="5"/>
    <n v="10"/>
    <n v="0.74"/>
    <n v="2"/>
    <n v="0.3"/>
    <n v="8"/>
    <n v="1.17"/>
    <x v="0"/>
  </r>
  <r>
    <x v="0"/>
    <s v="あきる野市"/>
    <x v="50"/>
    <x v="6"/>
    <n v="288"/>
    <n v="21.18"/>
    <n v="149"/>
    <n v="22.34"/>
    <n v="139"/>
    <n v="20.41"/>
    <x v="0"/>
  </r>
  <r>
    <x v="0"/>
    <s v="あきる野市"/>
    <x v="50"/>
    <x v="7"/>
    <n v="12"/>
    <n v="0.88"/>
    <n v="3"/>
    <n v="0.45"/>
    <n v="9"/>
    <n v="1.32"/>
    <x v="0"/>
  </r>
  <r>
    <x v="0"/>
    <s v="あきる野市"/>
    <x v="50"/>
    <x v="8"/>
    <n v="83"/>
    <n v="6.1"/>
    <n v="13"/>
    <n v="1.95"/>
    <n v="70"/>
    <n v="10.28"/>
    <x v="0"/>
  </r>
  <r>
    <x v="0"/>
    <s v="あきる野市"/>
    <x v="50"/>
    <x v="9"/>
    <n v="68"/>
    <n v="5"/>
    <n v="36"/>
    <n v="5.4"/>
    <n v="32"/>
    <n v="4.7"/>
    <x v="0"/>
  </r>
  <r>
    <x v="0"/>
    <s v="あきる野市"/>
    <x v="50"/>
    <x v="10"/>
    <n v="128"/>
    <n v="9.41"/>
    <n v="105"/>
    <n v="15.74"/>
    <n v="23"/>
    <n v="3.38"/>
    <x v="0"/>
  </r>
  <r>
    <x v="0"/>
    <s v="あきる野市"/>
    <x v="50"/>
    <x v="11"/>
    <n v="157"/>
    <n v="11.54"/>
    <n v="131"/>
    <n v="19.64"/>
    <n v="25"/>
    <n v="3.67"/>
    <x v="0"/>
  </r>
  <r>
    <x v="0"/>
    <s v="あきる野市"/>
    <x v="50"/>
    <x v="12"/>
    <n v="36"/>
    <n v="2.65"/>
    <n v="27"/>
    <n v="4.05"/>
    <n v="8"/>
    <n v="1.17"/>
    <x v="0"/>
  </r>
  <r>
    <x v="0"/>
    <s v="あきる野市"/>
    <x v="50"/>
    <x v="13"/>
    <n v="65"/>
    <n v="4.78"/>
    <n v="37"/>
    <n v="5.55"/>
    <n v="19"/>
    <n v="2.79"/>
    <x v="0"/>
  </r>
  <r>
    <x v="0"/>
    <s v="あきる野市"/>
    <x v="50"/>
    <x v="14"/>
    <n v="51"/>
    <n v="3.75"/>
    <n v="15"/>
    <n v="2.25"/>
    <n v="35"/>
    <n v="5.14"/>
    <x v="21"/>
  </r>
  <r>
    <x v="0"/>
    <s v="西東京市"/>
    <x v="51"/>
    <x v="0"/>
    <n v="0"/>
    <n v="0"/>
    <n v="0"/>
    <n v="0"/>
    <n v="0"/>
    <n v="0"/>
    <x v="0"/>
  </r>
  <r>
    <x v="0"/>
    <s v="西東京市"/>
    <x v="51"/>
    <x v="1"/>
    <n v="383"/>
    <n v="13.48"/>
    <n v="57"/>
    <n v="4.71"/>
    <n v="326"/>
    <n v="20.14"/>
    <x v="0"/>
  </r>
  <r>
    <x v="0"/>
    <s v="西東京市"/>
    <x v="51"/>
    <x v="2"/>
    <n v="109"/>
    <n v="3.84"/>
    <n v="22"/>
    <n v="1.82"/>
    <n v="87"/>
    <n v="5.37"/>
    <x v="0"/>
  </r>
  <r>
    <x v="0"/>
    <s v="西東京市"/>
    <x v="51"/>
    <x v="3"/>
    <n v="1"/>
    <n v="0.04"/>
    <n v="0"/>
    <n v="0"/>
    <n v="1"/>
    <n v="0.06"/>
    <x v="0"/>
  </r>
  <r>
    <x v="0"/>
    <s v="西東京市"/>
    <x v="51"/>
    <x v="4"/>
    <n v="71"/>
    <n v="2.5"/>
    <n v="3"/>
    <n v="0.25"/>
    <n v="68"/>
    <n v="4.2"/>
    <x v="0"/>
  </r>
  <r>
    <x v="0"/>
    <s v="西東京市"/>
    <x v="51"/>
    <x v="5"/>
    <n v="13"/>
    <n v="0.46"/>
    <n v="3"/>
    <n v="0.25"/>
    <n v="10"/>
    <n v="0.62"/>
    <x v="0"/>
  </r>
  <r>
    <x v="0"/>
    <s v="西東京市"/>
    <x v="51"/>
    <x v="6"/>
    <n v="561"/>
    <n v="19.739999999999998"/>
    <n v="238"/>
    <n v="19.670000000000002"/>
    <n v="323"/>
    <n v="19.95"/>
    <x v="0"/>
  </r>
  <r>
    <x v="0"/>
    <s v="西東京市"/>
    <x v="51"/>
    <x v="7"/>
    <n v="17"/>
    <n v="0.6"/>
    <n v="3"/>
    <n v="0.25"/>
    <n v="14"/>
    <n v="0.86"/>
    <x v="0"/>
  </r>
  <r>
    <x v="0"/>
    <s v="西東京市"/>
    <x v="51"/>
    <x v="8"/>
    <n v="393"/>
    <n v="13.83"/>
    <n v="99"/>
    <n v="8.18"/>
    <n v="294"/>
    <n v="18.16"/>
    <x v="0"/>
  </r>
  <r>
    <x v="0"/>
    <s v="西東京市"/>
    <x v="51"/>
    <x v="9"/>
    <n v="225"/>
    <n v="7.92"/>
    <n v="75"/>
    <n v="6.2"/>
    <n v="150"/>
    <n v="9.26"/>
    <x v="0"/>
  </r>
  <r>
    <x v="0"/>
    <s v="西東京市"/>
    <x v="51"/>
    <x v="10"/>
    <n v="286"/>
    <n v="10.06"/>
    <n v="214"/>
    <n v="17.690000000000001"/>
    <n v="72"/>
    <n v="4.45"/>
    <x v="0"/>
  </r>
  <r>
    <x v="0"/>
    <s v="西東京市"/>
    <x v="51"/>
    <x v="11"/>
    <n v="357"/>
    <n v="12.56"/>
    <n v="244"/>
    <n v="20.170000000000002"/>
    <n v="113"/>
    <n v="6.98"/>
    <x v="0"/>
  </r>
  <r>
    <x v="0"/>
    <s v="西東京市"/>
    <x v="51"/>
    <x v="12"/>
    <n v="149"/>
    <n v="5.24"/>
    <n v="103"/>
    <n v="8.51"/>
    <n v="45"/>
    <n v="2.78"/>
    <x v="0"/>
  </r>
  <r>
    <x v="0"/>
    <s v="西東京市"/>
    <x v="51"/>
    <x v="13"/>
    <n v="212"/>
    <n v="7.46"/>
    <n v="137"/>
    <n v="11.32"/>
    <n v="63"/>
    <n v="3.89"/>
    <x v="0"/>
  </r>
  <r>
    <x v="0"/>
    <s v="西東京市"/>
    <x v="51"/>
    <x v="14"/>
    <n v="65"/>
    <n v="2.29"/>
    <n v="12"/>
    <n v="0.99"/>
    <n v="53"/>
    <n v="3.27"/>
    <x v="0"/>
  </r>
  <r>
    <x v="0"/>
    <s v="西多摩郡瑞穂町"/>
    <x v="52"/>
    <x v="0"/>
    <n v="0"/>
    <n v="0"/>
    <n v="0"/>
    <n v="0"/>
    <n v="0"/>
    <n v="0"/>
    <x v="0"/>
  </r>
  <r>
    <x v="0"/>
    <s v="西多摩郡瑞穂町"/>
    <x v="52"/>
    <x v="1"/>
    <n v="171"/>
    <n v="17.850000000000001"/>
    <n v="45"/>
    <n v="14.15"/>
    <n v="126"/>
    <n v="19.78"/>
    <x v="0"/>
  </r>
  <r>
    <x v="0"/>
    <s v="西多摩郡瑞穂町"/>
    <x v="52"/>
    <x v="2"/>
    <n v="285"/>
    <n v="29.75"/>
    <n v="52"/>
    <n v="16.350000000000001"/>
    <n v="233"/>
    <n v="36.58"/>
    <x v="0"/>
  </r>
  <r>
    <x v="0"/>
    <s v="西多摩郡瑞穂町"/>
    <x v="52"/>
    <x v="3"/>
    <n v="2"/>
    <n v="0.21"/>
    <n v="0"/>
    <n v="0"/>
    <n v="2"/>
    <n v="0.31"/>
    <x v="0"/>
  </r>
  <r>
    <x v="0"/>
    <s v="西多摩郡瑞穂町"/>
    <x v="52"/>
    <x v="4"/>
    <n v="1"/>
    <n v="0.1"/>
    <n v="0"/>
    <n v="0"/>
    <n v="1"/>
    <n v="0.16"/>
    <x v="0"/>
  </r>
  <r>
    <x v="0"/>
    <s v="西多摩郡瑞穂町"/>
    <x v="52"/>
    <x v="5"/>
    <n v="19"/>
    <n v="1.98"/>
    <n v="1"/>
    <n v="0.31"/>
    <n v="18"/>
    <n v="2.83"/>
    <x v="0"/>
  </r>
  <r>
    <x v="0"/>
    <s v="西多摩郡瑞穂町"/>
    <x v="52"/>
    <x v="6"/>
    <n v="179"/>
    <n v="18.68"/>
    <n v="73"/>
    <n v="22.96"/>
    <n v="106"/>
    <n v="16.64"/>
    <x v="0"/>
  </r>
  <r>
    <x v="0"/>
    <s v="西多摩郡瑞穂町"/>
    <x v="52"/>
    <x v="7"/>
    <n v="4"/>
    <n v="0.42"/>
    <n v="0"/>
    <n v="0"/>
    <n v="4"/>
    <n v="0.63"/>
    <x v="0"/>
  </r>
  <r>
    <x v="0"/>
    <s v="西多摩郡瑞穂町"/>
    <x v="52"/>
    <x v="8"/>
    <n v="60"/>
    <n v="6.26"/>
    <n v="1"/>
    <n v="0.31"/>
    <n v="59"/>
    <n v="9.26"/>
    <x v="0"/>
  </r>
  <r>
    <x v="0"/>
    <s v="西多摩郡瑞穂町"/>
    <x v="52"/>
    <x v="9"/>
    <n v="21"/>
    <n v="2.19"/>
    <n v="10"/>
    <n v="3.14"/>
    <n v="11"/>
    <n v="1.73"/>
    <x v="0"/>
  </r>
  <r>
    <x v="0"/>
    <s v="西多摩郡瑞穂町"/>
    <x v="52"/>
    <x v="10"/>
    <n v="56"/>
    <n v="5.85"/>
    <n v="40"/>
    <n v="12.58"/>
    <n v="16"/>
    <n v="2.5099999999999998"/>
    <x v="0"/>
  </r>
  <r>
    <x v="0"/>
    <s v="西多摩郡瑞穂町"/>
    <x v="52"/>
    <x v="11"/>
    <n v="59"/>
    <n v="6.16"/>
    <n v="46"/>
    <n v="14.47"/>
    <n v="12"/>
    <n v="1.88"/>
    <x v="0"/>
  </r>
  <r>
    <x v="0"/>
    <s v="西多摩郡瑞穂町"/>
    <x v="52"/>
    <x v="12"/>
    <n v="15"/>
    <n v="1.57"/>
    <n v="12"/>
    <n v="3.77"/>
    <n v="2"/>
    <n v="0.31"/>
    <x v="0"/>
  </r>
  <r>
    <x v="0"/>
    <s v="西多摩郡瑞穂町"/>
    <x v="52"/>
    <x v="13"/>
    <n v="31"/>
    <n v="3.24"/>
    <n v="16"/>
    <n v="5.03"/>
    <n v="15"/>
    <n v="2.35"/>
    <x v="0"/>
  </r>
  <r>
    <x v="0"/>
    <s v="西多摩郡瑞穂町"/>
    <x v="52"/>
    <x v="14"/>
    <n v="55"/>
    <n v="5.74"/>
    <n v="22"/>
    <n v="6.92"/>
    <n v="32"/>
    <n v="5.0199999999999996"/>
    <x v="0"/>
  </r>
  <r>
    <x v="0"/>
    <s v="西多摩郡日の出町"/>
    <x v="53"/>
    <x v="0"/>
    <n v="0"/>
    <n v="0"/>
    <n v="0"/>
    <n v="0"/>
    <n v="0"/>
    <n v="0"/>
    <x v="0"/>
  </r>
  <r>
    <x v="0"/>
    <s v="西多摩郡日の出町"/>
    <x v="53"/>
    <x v="1"/>
    <n v="75"/>
    <n v="21.93"/>
    <n v="29"/>
    <n v="20.14"/>
    <n v="46"/>
    <n v="23.71"/>
    <x v="0"/>
  </r>
  <r>
    <x v="0"/>
    <s v="西多摩郡日の出町"/>
    <x v="53"/>
    <x v="2"/>
    <n v="55"/>
    <n v="16.079999999999998"/>
    <n v="14"/>
    <n v="9.7200000000000006"/>
    <n v="41"/>
    <n v="21.13"/>
    <x v="0"/>
  </r>
  <r>
    <x v="0"/>
    <s v="西多摩郡日の出町"/>
    <x v="53"/>
    <x v="3"/>
    <n v="1"/>
    <n v="0.28999999999999998"/>
    <n v="0"/>
    <n v="0"/>
    <n v="1"/>
    <n v="0.52"/>
    <x v="0"/>
  </r>
  <r>
    <x v="0"/>
    <s v="西多摩郡日の出町"/>
    <x v="53"/>
    <x v="4"/>
    <n v="3"/>
    <n v="0.88"/>
    <n v="0"/>
    <n v="0"/>
    <n v="3"/>
    <n v="1.55"/>
    <x v="0"/>
  </r>
  <r>
    <x v="0"/>
    <s v="西多摩郡日の出町"/>
    <x v="53"/>
    <x v="5"/>
    <n v="6"/>
    <n v="1.75"/>
    <n v="0"/>
    <n v="0"/>
    <n v="6"/>
    <n v="3.09"/>
    <x v="0"/>
  </r>
  <r>
    <x v="0"/>
    <s v="西多摩郡日の出町"/>
    <x v="53"/>
    <x v="6"/>
    <n v="77"/>
    <n v="22.51"/>
    <n v="32"/>
    <n v="22.22"/>
    <n v="44"/>
    <n v="22.68"/>
    <x v="21"/>
  </r>
  <r>
    <x v="0"/>
    <s v="西多摩郡日の出町"/>
    <x v="53"/>
    <x v="7"/>
    <n v="2"/>
    <n v="0.57999999999999996"/>
    <n v="1"/>
    <n v="0.69"/>
    <n v="1"/>
    <n v="0.52"/>
    <x v="0"/>
  </r>
  <r>
    <x v="0"/>
    <s v="西多摩郡日の出町"/>
    <x v="53"/>
    <x v="8"/>
    <n v="16"/>
    <n v="4.68"/>
    <n v="2"/>
    <n v="1.39"/>
    <n v="14"/>
    <n v="7.22"/>
    <x v="0"/>
  </r>
  <r>
    <x v="0"/>
    <s v="西多摩郡日の出町"/>
    <x v="53"/>
    <x v="9"/>
    <n v="9"/>
    <n v="2.63"/>
    <n v="5"/>
    <n v="3.47"/>
    <n v="4"/>
    <n v="2.06"/>
    <x v="0"/>
  </r>
  <r>
    <x v="0"/>
    <s v="西多摩郡日の出町"/>
    <x v="53"/>
    <x v="10"/>
    <n v="22"/>
    <n v="6.43"/>
    <n v="18"/>
    <n v="12.5"/>
    <n v="4"/>
    <n v="2.06"/>
    <x v="0"/>
  </r>
  <r>
    <x v="0"/>
    <s v="西多摩郡日の出町"/>
    <x v="53"/>
    <x v="11"/>
    <n v="30"/>
    <n v="8.77"/>
    <n v="23"/>
    <n v="15.97"/>
    <n v="6"/>
    <n v="3.09"/>
    <x v="0"/>
  </r>
  <r>
    <x v="0"/>
    <s v="西多摩郡日の出町"/>
    <x v="53"/>
    <x v="12"/>
    <n v="10"/>
    <n v="2.92"/>
    <n v="9"/>
    <n v="6.25"/>
    <n v="1"/>
    <n v="0.52"/>
    <x v="0"/>
  </r>
  <r>
    <x v="0"/>
    <s v="西多摩郡日の出町"/>
    <x v="53"/>
    <x v="13"/>
    <n v="19"/>
    <n v="5.56"/>
    <n v="7"/>
    <n v="4.8600000000000003"/>
    <n v="10"/>
    <n v="5.15"/>
    <x v="0"/>
  </r>
  <r>
    <x v="0"/>
    <s v="西多摩郡日の出町"/>
    <x v="53"/>
    <x v="14"/>
    <n v="17"/>
    <n v="4.97"/>
    <n v="4"/>
    <n v="2.78"/>
    <n v="13"/>
    <n v="6.7"/>
    <x v="0"/>
  </r>
  <r>
    <x v="0"/>
    <s v="西多摩郡檜原村"/>
    <x v="54"/>
    <x v="0"/>
    <n v="0"/>
    <n v="0"/>
    <n v="0"/>
    <n v="0"/>
    <n v="0"/>
    <n v="0"/>
    <x v="0"/>
  </r>
  <r>
    <x v="0"/>
    <s v="西多摩郡檜原村"/>
    <x v="54"/>
    <x v="1"/>
    <n v="25"/>
    <n v="22.52"/>
    <n v="16"/>
    <n v="21.92"/>
    <n v="9"/>
    <n v="25.71"/>
    <x v="0"/>
  </r>
  <r>
    <x v="0"/>
    <s v="西多摩郡檜原村"/>
    <x v="54"/>
    <x v="2"/>
    <n v="11"/>
    <n v="9.91"/>
    <n v="6"/>
    <n v="8.2200000000000006"/>
    <n v="5"/>
    <n v="14.29"/>
    <x v="0"/>
  </r>
  <r>
    <x v="0"/>
    <s v="西多摩郡檜原村"/>
    <x v="54"/>
    <x v="3"/>
    <n v="3"/>
    <n v="2.7"/>
    <n v="0"/>
    <n v="0"/>
    <n v="2"/>
    <n v="5.71"/>
    <x v="0"/>
  </r>
  <r>
    <x v="0"/>
    <s v="西多摩郡檜原村"/>
    <x v="54"/>
    <x v="4"/>
    <n v="1"/>
    <n v="0.9"/>
    <n v="0"/>
    <n v="0"/>
    <n v="1"/>
    <n v="2.86"/>
    <x v="0"/>
  </r>
  <r>
    <x v="0"/>
    <s v="西多摩郡檜原村"/>
    <x v="54"/>
    <x v="5"/>
    <n v="0"/>
    <n v="0"/>
    <n v="0"/>
    <n v="0"/>
    <n v="0"/>
    <n v="0"/>
    <x v="0"/>
  </r>
  <r>
    <x v="0"/>
    <s v="西多摩郡檜原村"/>
    <x v="54"/>
    <x v="6"/>
    <n v="24"/>
    <n v="21.62"/>
    <n v="19"/>
    <n v="26.03"/>
    <n v="5"/>
    <n v="14.29"/>
    <x v="0"/>
  </r>
  <r>
    <x v="0"/>
    <s v="西多摩郡檜原村"/>
    <x v="54"/>
    <x v="7"/>
    <n v="0"/>
    <n v="0"/>
    <n v="0"/>
    <n v="0"/>
    <n v="0"/>
    <n v="0"/>
    <x v="0"/>
  </r>
  <r>
    <x v="0"/>
    <s v="西多摩郡檜原村"/>
    <x v="54"/>
    <x v="8"/>
    <n v="4"/>
    <n v="3.6"/>
    <n v="2"/>
    <n v="2.74"/>
    <n v="2"/>
    <n v="5.71"/>
    <x v="0"/>
  </r>
  <r>
    <x v="0"/>
    <s v="西多摩郡檜原村"/>
    <x v="54"/>
    <x v="9"/>
    <n v="3"/>
    <n v="2.7"/>
    <n v="1"/>
    <n v="1.37"/>
    <n v="1"/>
    <n v="2.86"/>
    <x v="0"/>
  </r>
  <r>
    <x v="0"/>
    <s v="西多摩郡檜原村"/>
    <x v="54"/>
    <x v="10"/>
    <n v="24"/>
    <n v="21.62"/>
    <n v="19"/>
    <n v="26.03"/>
    <n v="5"/>
    <n v="14.29"/>
    <x v="0"/>
  </r>
  <r>
    <x v="0"/>
    <s v="西多摩郡檜原村"/>
    <x v="54"/>
    <x v="11"/>
    <n v="8"/>
    <n v="7.21"/>
    <n v="7"/>
    <n v="9.59"/>
    <n v="1"/>
    <n v="2.86"/>
    <x v="0"/>
  </r>
  <r>
    <x v="0"/>
    <s v="西多摩郡檜原村"/>
    <x v="54"/>
    <x v="12"/>
    <n v="3"/>
    <n v="2.7"/>
    <n v="2"/>
    <n v="2.74"/>
    <n v="0"/>
    <n v="0"/>
    <x v="0"/>
  </r>
  <r>
    <x v="0"/>
    <s v="西多摩郡檜原村"/>
    <x v="54"/>
    <x v="13"/>
    <n v="1"/>
    <n v="0.9"/>
    <n v="0"/>
    <n v="0"/>
    <n v="1"/>
    <n v="2.86"/>
    <x v="0"/>
  </r>
  <r>
    <x v="0"/>
    <s v="西多摩郡檜原村"/>
    <x v="54"/>
    <x v="14"/>
    <n v="4"/>
    <n v="3.6"/>
    <n v="1"/>
    <n v="1.37"/>
    <n v="3"/>
    <n v="8.57"/>
    <x v="0"/>
  </r>
  <r>
    <x v="0"/>
    <s v="西多摩郡奥多摩町"/>
    <x v="55"/>
    <x v="0"/>
    <n v="0"/>
    <n v="0"/>
    <n v="0"/>
    <n v="0"/>
    <n v="0"/>
    <n v="0"/>
    <x v="0"/>
  </r>
  <r>
    <x v="0"/>
    <s v="西多摩郡奥多摩町"/>
    <x v="55"/>
    <x v="1"/>
    <n v="26"/>
    <n v="20.16"/>
    <n v="14"/>
    <n v="19.18"/>
    <n v="12"/>
    <n v="22.64"/>
    <x v="0"/>
  </r>
  <r>
    <x v="0"/>
    <s v="西多摩郡奥多摩町"/>
    <x v="55"/>
    <x v="2"/>
    <n v="12"/>
    <n v="9.3000000000000007"/>
    <n v="5"/>
    <n v="6.85"/>
    <n v="7"/>
    <n v="13.21"/>
    <x v="0"/>
  </r>
  <r>
    <x v="0"/>
    <s v="西多摩郡奥多摩町"/>
    <x v="55"/>
    <x v="3"/>
    <n v="0"/>
    <n v="0"/>
    <n v="0"/>
    <n v="0"/>
    <n v="0"/>
    <n v="0"/>
    <x v="0"/>
  </r>
  <r>
    <x v="0"/>
    <s v="西多摩郡奥多摩町"/>
    <x v="55"/>
    <x v="4"/>
    <n v="0"/>
    <n v="0"/>
    <n v="0"/>
    <n v="0"/>
    <n v="0"/>
    <n v="0"/>
    <x v="0"/>
  </r>
  <r>
    <x v="0"/>
    <s v="西多摩郡奥多摩町"/>
    <x v="55"/>
    <x v="5"/>
    <n v="1"/>
    <n v="0.78"/>
    <n v="0"/>
    <n v="0"/>
    <n v="1"/>
    <n v="1.89"/>
    <x v="0"/>
  </r>
  <r>
    <x v="0"/>
    <s v="西多摩郡奥多摩町"/>
    <x v="55"/>
    <x v="6"/>
    <n v="30"/>
    <n v="23.26"/>
    <n v="16"/>
    <n v="21.92"/>
    <n v="14"/>
    <n v="26.42"/>
    <x v="0"/>
  </r>
  <r>
    <x v="0"/>
    <s v="西多摩郡奥多摩町"/>
    <x v="55"/>
    <x v="7"/>
    <n v="1"/>
    <n v="0.78"/>
    <n v="0"/>
    <n v="0"/>
    <n v="1"/>
    <n v="1.89"/>
    <x v="0"/>
  </r>
  <r>
    <x v="0"/>
    <s v="西多摩郡奥多摩町"/>
    <x v="55"/>
    <x v="8"/>
    <n v="3"/>
    <n v="2.33"/>
    <n v="0"/>
    <n v="0"/>
    <n v="3"/>
    <n v="5.66"/>
    <x v="0"/>
  </r>
  <r>
    <x v="0"/>
    <s v="西多摩郡奥多摩町"/>
    <x v="55"/>
    <x v="9"/>
    <n v="3"/>
    <n v="2.33"/>
    <n v="1"/>
    <n v="1.37"/>
    <n v="2"/>
    <n v="3.77"/>
    <x v="0"/>
  </r>
  <r>
    <x v="0"/>
    <s v="西多摩郡奥多摩町"/>
    <x v="55"/>
    <x v="10"/>
    <n v="34"/>
    <n v="26.36"/>
    <n v="28"/>
    <n v="38.36"/>
    <n v="6"/>
    <n v="11.32"/>
    <x v="0"/>
  </r>
  <r>
    <x v="0"/>
    <s v="西多摩郡奥多摩町"/>
    <x v="55"/>
    <x v="11"/>
    <n v="10"/>
    <n v="7.75"/>
    <n v="6"/>
    <n v="8.2200000000000006"/>
    <n v="3"/>
    <n v="5.66"/>
    <x v="0"/>
  </r>
  <r>
    <x v="0"/>
    <s v="西多摩郡奥多摩町"/>
    <x v="55"/>
    <x v="12"/>
    <n v="2"/>
    <n v="1.55"/>
    <n v="0"/>
    <n v="0"/>
    <n v="1"/>
    <n v="1.89"/>
    <x v="0"/>
  </r>
  <r>
    <x v="0"/>
    <s v="西多摩郡奥多摩町"/>
    <x v="55"/>
    <x v="13"/>
    <n v="2"/>
    <n v="1.55"/>
    <n v="1"/>
    <n v="1.37"/>
    <n v="1"/>
    <n v="1.89"/>
    <x v="0"/>
  </r>
  <r>
    <x v="0"/>
    <s v="西多摩郡奥多摩町"/>
    <x v="55"/>
    <x v="14"/>
    <n v="5"/>
    <n v="3.88"/>
    <n v="2"/>
    <n v="2.74"/>
    <n v="2"/>
    <n v="3.77"/>
    <x v="0"/>
  </r>
  <r>
    <x v="0"/>
    <s v="大島支庁大島町"/>
    <x v="56"/>
    <x v="0"/>
    <n v="1"/>
    <n v="0.27"/>
    <n v="0"/>
    <n v="0"/>
    <n v="1"/>
    <n v="0.76"/>
    <x v="0"/>
  </r>
  <r>
    <x v="0"/>
    <s v="大島支庁大島町"/>
    <x v="56"/>
    <x v="1"/>
    <n v="49"/>
    <n v="13.07"/>
    <n v="21"/>
    <n v="8.94"/>
    <n v="28"/>
    <n v="21.21"/>
    <x v="0"/>
  </r>
  <r>
    <x v="0"/>
    <s v="大島支庁大島町"/>
    <x v="56"/>
    <x v="2"/>
    <n v="22"/>
    <n v="5.87"/>
    <n v="7"/>
    <n v="2.98"/>
    <n v="15"/>
    <n v="11.36"/>
    <x v="0"/>
  </r>
  <r>
    <x v="0"/>
    <s v="大島支庁大島町"/>
    <x v="56"/>
    <x v="3"/>
    <n v="2"/>
    <n v="0.53"/>
    <n v="0"/>
    <n v="0"/>
    <n v="0"/>
    <n v="0"/>
    <x v="0"/>
  </r>
  <r>
    <x v="0"/>
    <s v="大島支庁大島町"/>
    <x v="56"/>
    <x v="4"/>
    <n v="1"/>
    <n v="0.27"/>
    <n v="0"/>
    <n v="0"/>
    <n v="1"/>
    <n v="0.76"/>
    <x v="0"/>
  </r>
  <r>
    <x v="0"/>
    <s v="大島支庁大島町"/>
    <x v="56"/>
    <x v="5"/>
    <n v="6"/>
    <n v="1.6"/>
    <n v="4"/>
    <n v="1.7"/>
    <n v="2"/>
    <n v="1.52"/>
    <x v="0"/>
  </r>
  <r>
    <x v="0"/>
    <s v="大島支庁大島町"/>
    <x v="56"/>
    <x v="6"/>
    <n v="120"/>
    <n v="32"/>
    <n v="76"/>
    <n v="32.340000000000003"/>
    <n v="43"/>
    <n v="32.58"/>
    <x v="0"/>
  </r>
  <r>
    <x v="0"/>
    <s v="大島支庁大島町"/>
    <x v="56"/>
    <x v="7"/>
    <n v="3"/>
    <n v="0.8"/>
    <n v="1"/>
    <n v="0.43"/>
    <n v="2"/>
    <n v="1.52"/>
    <x v="0"/>
  </r>
  <r>
    <x v="0"/>
    <s v="大島支庁大島町"/>
    <x v="56"/>
    <x v="8"/>
    <n v="7"/>
    <n v="1.87"/>
    <n v="6"/>
    <n v="2.5499999999999998"/>
    <n v="1"/>
    <n v="0.76"/>
    <x v="0"/>
  </r>
  <r>
    <x v="0"/>
    <s v="大島支庁大島町"/>
    <x v="56"/>
    <x v="9"/>
    <n v="8"/>
    <n v="2.13"/>
    <n v="4"/>
    <n v="1.7"/>
    <n v="4"/>
    <n v="3.03"/>
    <x v="0"/>
  </r>
  <r>
    <x v="0"/>
    <s v="大島支庁大島町"/>
    <x v="56"/>
    <x v="10"/>
    <n v="95"/>
    <n v="25.33"/>
    <n v="76"/>
    <n v="32.340000000000003"/>
    <n v="18"/>
    <n v="13.64"/>
    <x v="0"/>
  </r>
  <r>
    <x v="0"/>
    <s v="大島支庁大島町"/>
    <x v="56"/>
    <x v="11"/>
    <n v="32"/>
    <n v="8.5299999999999994"/>
    <n v="25"/>
    <n v="10.64"/>
    <n v="5"/>
    <n v="3.79"/>
    <x v="0"/>
  </r>
  <r>
    <x v="0"/>
    <s v="大島支庁大島町"/>
    <x v="56"/>
    <x v="12"/>
    <n v="9"/>
    <n v="2.4"/>
    <n v="6"/>
    <n v="2.5499999999999998"/>
    <n v="1"/>
    <n v="0.76"/>
    <x v="0"/>
  </r>
  <r>
    <x v="0"/>
    <s v="大島支庁大島町"/>
    <x v="56"/>
    <x v="13"/>
    <n v="10"/>
    <n v="2.67"/>
    <n v="4"/>
    <n v="1.7"/>
    <n v="6"/>
    <n v="4.55"/>
    <x v="0"/>
  </r>
  <r>
    <x v="0"/>
    <s v="大島支庁大島町"/>
    <x v="56"/>
    <x v="14"/>
    <n v="10"/>
    <n v="2.67"/>
    <n v="5"/>
    <n v="2.13"/>
    <n v="5"/>
    <n v="3.79"/>
    <x v="0"/>
  </r>
  <r>
    <x v="0"/>
    <s v="大島支庁利島村"/>
    <x v="57"/>
    <x v="0"/>
    <n v="0"/>
    <n v="0"/>
    <n v="0"/>
    <n v="0"/>
    <n v="0"/>
    <n v="0"/>
    <x v="0"/>
  </r>
  <r>
    <x v="0"/>
    <s v="大島支庁利島村"/>
    <x v="57"/>
    <x v="1"/>
    <n v="3"/>
    <n v="14.29"/>
    <n v="2"/>
    <n v="13.33"/>
    <n v="1"/>
    <n v="25"/>
    <x v="0"/>
  </r>
  <r>
    <x v="0"/>
    <s v="大島支庁利島村"/>
    <x v="57"/>
    <x v="2"/>
    <n v="1"/>
    <n v="4.76"/>
    <n v="0"/>
    <n v="0"/>
    <n v="1"/>
    <n v="25"/>
    <x v="0"/>
  </r>
  <r>
    <x v="0"/>
    <s v="大島支庁利島村"/>
    <x v="57"/>
    <x v="3"/>
    <n v="1"/>
    <n v="4.76"/>
    <n v="0"/>
    <n v="0"/>
    <n v="0"/>
    <n v="0"/>
    <x v="0"/>
  </r>
  <r>
    <x v="0"/>
    <s v="大島支庁利島村"/>
    <x v="57"/>
    <x v="4"/>
    <n v="0"/>
    <n v="0"/>
    <n v="0"/>
    <n v="0"/>
    <n v="0"/>
    <n v="0"/>
    <x v="0"/>
  </r>
  <r>
    <x v="0"/>
    <s v="大島支庁利島村"/>
    <x v="57"/>
    <x v="5"/>
    <n v="1"/>
    <n v="4.76"/>
    <n v="0"/>
    <n v="0"/>
    <n v="1"/>
    <n v="25"/>
    <x v="0"/>
  </r>
  <r>
    <x v="0"/>
    <s v="大島支庁利島村"/>
    <x v="57"/>
    <x v="6"/>
    <n v="4"/>
    <n v="19.05"/>
    <n v="4"/>
    <n v="26.67"/>
    <n v="0"/>
    <n v="0"/>
    <x v="0"/>
  </r>
  <r>
    <x v="0"/>
    <s v="大島支庁利島村"/>
    <x v="57"/>
    <x v="7"/>
    <n v="0"/>
    <n v="0"/>
    <n v="0"/>
    <n v="0"/>
    <n v="0"/>
    <n v="0"/>
    <x v="0"/>
  </r>
  <r>
    <x v="0"/>
    <s v="大島支庁利島村"/>
    <x v="57"/>
    <x v="8"/>
    <n v="0"/>
    <n v="0"/>
    <n v="0"/>
    <n v="0"/>
    <n v="0"/>
    <n v="0"/>
    <x v="0"/>
  </r>
  <r>
    <x v="0"/>
    <s v="大島支庁利島村"/>
    <x v="57"/>
    <x v="9"/>
    <n v="0"/>
    <n v="0"/>
    <n v="0"/>
    <n v="0"/>
    <n v="0"/>
    <n v="0"/>
    <x v="0"/>
  </r>
  <r>
    <x v="0"/>
    <s v="大島支庁利島村"/>
    <x v="57"/>
    <x v="10"/>
    <n v="8"/>
    <n v="38.1"/>
    <n v="8"/>
    <n v="53.33"/>
    <n v="0"/>
    <n v="0"/>
    <x v="0"/>
  </r>
  <r>
    <x v="0"/>
    <s v="大島支庁利島村"/>
    <x v="57"/>
    <x v="11"/>
    <n v="1"/>
    <n v="4.76"/>
    <n v="1"/>
    <n v="6.67"/>
    <n v="0"/>
    <n v="0"/>
    <x v="0"/>
  </r>
  <r>
    <x v="0"/>
    <s v="大島支庁利島村"/>
    <x v="57"/>
    <x v="12"/>
    <n v="0"/>
    <n v="0"/>
    <n v="0"/>
    <n v="0"/>
    <n v="0"/>
    <n v="0"/>
    <x v="0"/>
  </r>
  <r>
    <x v="0"/>
    <s v="大島支庁利島村"/>
    <x v="57"/>
    <x v="13"/>
    <n v="0"/>
    <n v="0"/>
    <n v="0"/>
    <n v="0"/>
    <n v="0"/>
    <n v="0"/>
    <x v="0"/>
  </r>
  <r>
    <x v="0"/>
    <s v="大島支庁利島村"/>
    <x v="57"/>
    <x v="14"/>
    <n v="2"/>
    <n v="9.52"/>
    <n v="0"/>
    <n v="0"/>
    <n v="1"/>
    <n v="25"/>
    <x v="0"/>
  </r>
  <r>
    <x v="0"/>
    <s v="大島支庁新島村"/>
    <x v="58"/>
    <x v="0"/>
    <n v="0"/>
    <n v="0"/>
    <n v="0"/>
    <n v="0"/>
    <n v="0"/>
    <n v="0"/>
    <x v="0"/>
  </r>
  <r>
    <x v="0"/>
    <s v="大島支庁新島村"/>
    <x v="58"/>
    <x v="1"/>
    <n v="15"/>
    <n v="9.6199999999999992"/>
    <n v="10"/>
    <n v="8.1300000000000008"/>
    <n v="5"/>
    <n v="20.83"/>
    <x v="0"/>
  </r>
  <r>
    <x v="0"/>
    <s v="大島支庁新島村"/>
    <x v="58"/>
    <x v="2"/>
    <n v="9"/>
    <n v="5.77"/>
    <n v="4"/>
    <n v="3.25"/>
    <n v="5"/>
    <n v="20.83"/>
    <x v="0"/>
  </r>
  <r>
    <x v="0"/>
    <s v="大島支庁新島村"/>
    <x v="58"/>
    <x v="3"/>
    <n v="2"/>
    <n v="1.28"/>
    <n v="0"/>
    <n v="0"/>
    <n v="0"/>
    <n v="0"/>
    <x v="0"/>
  </r>
  <r>
    <x v="0"/>
    <s v="大島支庁新島村"/>
    <x v="58"/>
    <x v="4"/>
    <n v="0"/>
    <n v="0"/>
    <n v="0"/>
    <n v="0"/>
    <n v="0"/>
    <n v="0"/>
    <x v="0"/>
  </r>
  <r>
    <x v="0"/>
    <s v="大島支庁新島村"/>
    <x v="58"/>
    <x v="5"/>
    <n v="7"/>
    <n v="4.49"/>
    <n v="2"/>
    <n v="1.63"/>
    <n v="4"/>
    <n v="16.670000000000002"/>
    <x v="0"/>
  </r>
  <r>
    <x v="0"/>
    <s v="大島支庁新島村"/>
    <x v="58"/>
    <x v="6"/>
    <n v="29"/>
    <n v="18.59"/>
    <n v="24"/>
    <n v="19.510000000000002"/>
    <n v="5"/>
    <n v="20.83"/>
    <x v="0"/>
  </r>
  <r>
    <x v="0"/>
    <s v="大島支庁新島村"/>
    <x v="58"/>
    <x v="7"/>
    <n v="0"/>
    <n v="0"/>
    <n v="0"/>
    <n v="0"/>
    <n v="0"/>
    <n v="0"/>
    <x v="0"/>
  </r>
  <r>
    <x v="0"/>
    <s v="大島支庁新島村"/>
    <x v="58"/>
    <x v="8"/>
    <n v="2"/>
    <n v="1.28"/>
    <n v="2"/>
    <n v="1.63"/>
    <n v="0"/>
    <n v="0"/>
    <x v="0"/>
  </r>
  <r>
    <x v="0"/>
    <s v="大島支庁新島村"/>
    <x v="58"/>
    <x v="9"/>
    <n v="2"/>
    <n v="1.28"/>
    <n v="0"/>
    <n v="0"/>
    <n v="1"/>
    <n v="4.17"/>
    <x v="0"/>
  </r>
  <r>
    <x v="0"/>
    <s v="大島支庁新島村"/>
    <x v="58"/>
    <x v="10"/>
    <n v="75"/>
    <n v="48.08"/>
    <n v="73"/>
    <n v="59.35"/>
    <n v="2"/>
    <n v="8.33"/>
    <x v="0"/>
  </r>
  <r>
    <x v="0"/>
    <s v="大島支庁新島村"/>
    <x v="58"/>
    <x v="11"/>
    <n v="10"/>
    <n v="6.41"/>
    <n v="7"/>
    <n v="5.69"/>
    <n v="1"/>
    <n v="4.17"/>
    <x v="0"/>
  </r>
  <r>
    <x v="0"/>
    <s v="大島支庁新島村"/>
    <x v="58"/>
    <x v="12"/>
    <n v="2"/>
    <n v="1.28"/>
    <n v="0"/>
    <n v="0"/>
    <n v="0"/>
    <n v="0"/>
    <x v="0"/>
  </r>
  <r>
    <x v="0"/>
    <s v="大島支庁新島村"/>
    <x v="58"/>
    <x v="13"/>
    <n v="1"/>
    <n v="0.64"/>
    <n v="0"/>
    <n v="0"/>
    <n v="1"/>
    <n v="4.17"/>
    <x v="0"/>
  </r>
  <r>
    <x v="0"/>
    <s v="大島支庁新島村"/>
    <x v="58"/>
    <x v="14"/>
    <n v="2"/>
    <n v="1.28"/>
    <n v="1"/>
    <n v="0.81"/>
    <n v="0"/>
    <n v="0"/>
    <x v="0"/>
  </r>
  <r>
    <x v="0"/>
    <s v="大島支庁神津島村"/>
    <x v="59"/>
    <x v="0"/>
    <n v="0"/>
    <n v="0"/>
    <n v="0"/>
    <n v="0"/>
    <n v="0"/>
    <n v="0"/>
    <x v="0"/>
  </r>
  <r>
    <x v="0"/>
    <s v="大島支庁神津島村"/>
    <x v="59"/>
    <x v="1"/>
    <n v="15"/>
    <n v="11.72"/>
    <n v="11"/>
    <n v="10.28"/>
    <n v="4"/>
    <n v="26.67"/>
    <x v="0"/>
  </r>
  <r>
    <x v="0"/>
    <s v="大島支庁神津島村"/>
    <x v="59"/>
    <x v="2"/>
    <n v="5"/>
    <n v="3.91"/>
    <n v="3"/>
    <n v="2.8"/>
    <n v="2"/>
    <n v="13.33"/>
    <x v="0"/>
  </r>
  <r>
    <x v="0"/>
    <s v="大島支庁神津島村"/>
    <x v="59"/>
    <x v="3"/>
    <n v="1"/>
    <n v="0.78"/>
    <n v="0"/>
    <n v="0"/>
    <n v="0"/>
    <n v="0"/>
    <x v="0"/>
  </r>
  <r>
    <x v="0"/>
    <s v="大島支庁神津島村"/>
    <x v="59"/>
    <x v="4"/>
    <n v="1"/>
    <n v="0.78"/>
    <n v="0"/>
    <n v="0"/>
    <n v="0"/>
    <n v="0"/>
    <x v="21"/>
  </r>
  <r>
    <x v="0"/>
    <s v="大島支庁神津島村"/>
    <x v="59"/>
    <x v="5"/>
    <n v="2"/>
    <n v="1.56"/>
    <n v="1"/>
    <n v="0.93"/>
    <n v="1"/>
    <n v="6.67"/>
    <x v="0"/>
  </r>
  <r>
    <x v="0"/>
    <s v="大島支庁神津島村"/>
    <x v="59"/>
    <x v="6"/>
    <n v="21"/>
    <n v="16.41"/>
    <n v="18"/>
    <n v="16.82"/>
    <n v="3"/>
    <n v="20"/>
    <x v="0"/>
  </r>
  <r>
    <x v="0"/>
    <s v="大島支庁神津島村"/>
    <x v="59"/>
    <x v="7"/>
    <n v="0"/>
    <n v="0"/>
    <n v="0"/>
    <n v="0"/>
    <n v="0"/>
    <n v="0"/>
    <x v="0"/>
  </r>
  <r>
    <x v="0"/>
    <s v="大島支庁神津島村"/>
    <x v="59"/>
    <x v="8"/>
    <n v="1"/>
    <n v="0.78"/>
    <n v="1"/>
    <n v="0.93"/>
    <n v="0"/>
    <n v="0"/>
    <x v="0"/>
  </r>
  <r>
    <x v="0"/>
    <s v="大島支庁神津島村"/>
    <x v="59"/>
    <x v="9"/>
    <n v="3"/>
    <n v="2.34"/>
    <n v="3"/>
    <n v="2.8"/>
    <n v="0"/>
    <n v="0"/>
    <x v="0"/>
  </r>
  <r>
    <x v="0"/>
    <s v="大島支庁神津島村"/>
    <x v="59"/>
    <x v="10"/>
    <n v="59"/>
    <n v="46.09"/>
    <n v="55"/>
    <n v="51.4"/>
    <n v="4"/>
    <n v="26.67"/>
    <x v="0"/>
  </r>
  <r>
    <x v="0"/>
    <s v="大島支庁神津島村"/>
    <x v="59"/>
    <x v="11"/>
    <n v="12"/>
    <n v="9.3800000000000008"/>
    <n v="12"/>
    <n v="11.21"/>
    <n v="0"/>
    <n v="0"/>
    <x v="0"/>
  </r>
  <r>
    <x v="0"/>
    <s v="大島支庁神津島村"/>
    <x v="59"/>
    <x v="12"/>
    <n v="4"/>
    <n v="3.13"/>
    <n v="2"/>
    <n v="1.87"/>
    <n v="0"/>
    <n v="0"/>
    <x v="0"/>
  </r>
  <r>
    <x v="0"/>
    <s v="大島支庁神津島村"/>
    <x v="59"/>
    <x v="13"/>
    <n v="2"/>
    <n v="1.56"/>
    <n v="1"/>
    <n v="0.93"/>
    <n v="1"/>
    <n v="6.67"/>
    <x v="0"/>
  </r>
  <r>
    <x v="0"/>
    <s v="大島支庁神津島村"/>
    <x v="59"/>
    <x v="14"/>
    <n v="2"/>
    <n v="1.56"/>
    <n v="0"/>
    <n v="0"/>
    <n v="0"/>
    <n v="0"/>
    <x v="0"/>
  </r>
  <r>
    <x v="0"/>
    <s v="三宅支庁三宅村"/>
    <x v="60"/>
    <x v="0"/>
    <n v="0"/>
    <n v="0"/>
    <n v="0"/>
    <n v="0"/>
    <n v="0"/>
    <n v="0"/>
    <x v="0"/>
  </r>
  <r>
    <x v="0"/>
    <s v="三宅支庁三宅村"/>
    <x v="60"/>
    <x v="1"/>
    <n v="25"/>
    <n v="14.2"/>
    <n v="13"/>
    <n v="9.56"/>
    <n v="12"/>
    <n v="30.77"/>
    <x v="0"/>
  </r>
  <r>
    <x v="0"/>
    <s v="三宅支庁三宅村"/>
    <x v="60"/>
    <x v="2"/>
    <n v="10"/>
    <n v="5.68"/>
    <n v="9"/>
    <n v="6.62"/>
    <n v="1"/>
    <n v="2.56"/>
    <x v="0"/>
  </r>
  <r>
    <x v="0"/>
    <s v="三宅支庁三宅村"/>
    <x v="60"/>
    <x v="3"/>
    <n v="1"/>
    <n v="0.56999999999999995"/>
    <n v="0"/>
    <n v="0"/>
    <n v="0"/>
    <n v="0"/>
    <x v="0"/>
  </r>
  <r>
    <x v="0"/>
    <s v="三宅支庁三宅村"/>
    <x v="60"/>
    <x v="4"/>
    <n v="0"/>
    <n v="0"/>
    <n v="0"/>
    <n v="0"/>
    <n v="0"/>
    <n v="0"/>
    <x v="0"/>
  </r>
  <r>
    <x v="0"/>
    <s v="三宅支庁三宅村"/>
    <x v="60"/>
    <x v="5"/>
    <n v="5"/>
    <n v="2.84"/>
    <n v="2"/>
    <n v="1.47"/>
    <n v="3"/>
    <n v="7.69"/>
    <x v="0"/>
  </r>
  <r>
    <x v="0"/>
    <s v="三宅支庁三宅村"/>
    <x v="60"/>
    <x v="6"/>
    <n v="34"/>
    <n v="19.32"/>
    <n v="22"/>
    <n v="16.18"/>
    <n v="12"/>
    <n v="30.77"/>
    <x v="0"/>
  </r>
  <r>
    <x v="0"/>
    <s v="三宅支庁三宅村"/>
    <x v="60"/>
    <x v="7"/>
    <n v="1"/>
    <n v="0.56999999999999995"/>
    <n v="1"/>
    <n v="0.74"/>
    <n v="0"/>
    <n v="0"/>
    <x v="0"/>
  </r>
  <r>
    <x v="0"/>
    <s v="三宅支庁三宅村"/>
    <x v="60"/>
    <x v="8"/>
    <n v="4"/>
    <n v="2.27"/>
    <n v="4"/>
    <n v="2.94"/>
    <n v="0"/>
    <n v="0"/>
    <x v="0"/>
  </r>
  <r>
    <x v="0"/>
    <s v="三宅支庁三宅村"/>
    <x v="60"/>
    <x v="9"/>
    <n v="4"/>
    <n v="2.27"/>
    <n v="2"/>
    <n v="1.47"/>
    <n v="2"/>
    <n v="5.13"/>
    <x v="0"/>
  </r>
  <r>
    <x v="0"/>
    <s v="三宅支庁三宅村"/>
    <x v="60"/>
    <x v="10"/>
    <n v="56"/>
    <n v="31.82"/>
    <n v="53"/>
    <n v="38.97"/>
    <n v="3"/>
    <n v="7.69"/>
    <x v="0"/>
  </r>
  <r>
    <x v="0"/>
    <s v="三宅支庁三宅村"/>
    <x v="60"/>
    <x v="11"/>
    <n v="30"/>
    <n v="17.05"/>
    <n v="27"/>
    <n v="19.850000000000001"/>
    <n v="3"/>
    <n v="7.69"/>
    <x v="0"/>
  </r>
  <r>
    <x v="0"/>
    <s v="三宅支庁三宅村"/>
    <x v="60"/>
    <x v="12"/>
    <n v="0"/>
    <n v="0"/>
    <n v="0"/>
    <n v="0"/>
    <n v="0"/>
    <n v="0"/>
    <x v="0"/>
  </r>
  <r>
    <x v="0"/>
    <s v="三宅支庁三宅村"/>
    <x v="60"/>
    <x v="13"/>
    <n v="2"/>
    <n v="1.1399999999999999"/>
    <n v="1"/>
    <n v="0.74"/>
    <n v="1"/>
    <n v="2.56"/>
    <x v="0"/>
  </r>
  <r>
    <x v="0"/>
    <s v="三宅支庁三宅村"/>
    <x v="60"/>
    <x v="14"/>
    <n v="4"/>
    <n v="2.27"/>
    <n v="2"/>
    <n v="1.47"/>
    <n v="2"/>
    <n v="5.13"/>
    <x v="0"/>
  </r>
  <r>
    <x v="0"/>
    <s v="三宅支庁御蔵島村"/>
    <x v="61"/>
    <x v="0"/>
    <n v="0"/>
    <n v="0"/>
    <n v="0"/>
    <n v="0"/>
    <n v="0"/>
    <n v="0"/>
    <x v="0"/>
  </r>
  <r>
    <x v="0"/>
    <s v="三宅支庁御蔵島村"/>
    <x v="61"/>
    <x v="1"/>
    <n v="0"/>
    <n v="0"/>
    <n v="0"/>
    <n v="0"/>
    <n v="0"/>
    <n v="0"/>
    <x v="0"/>
  </r>
  <r>
    <x v="0"/>
    <s v="三宅支庁御蔵島村"/>
    <x v="61"/>
    <x v="2"/>
    <n v="0"/>
    <n v="0"/>
    <n v="0"/>
    <n v="0"/>
    <n v="0"/>
    <n v="0"/>
    <x v="0"/>
  </r>
  <r>
    <x v="0"/>
    <s v="三宅支庁御蔵島村"/>
    <x v="61"/>
    <x v="3"/>
    <n v="0"/>
    <n v="0"/>
    <n v="0"/>
    <n v="0"/>
    <n v="0"/>
    <n v="0"/>
    <x v="0"/>
  </r>
  <r>
    <x v="0"/>
    <s v="三宅支庁御蔵島村"/>
    <x v="61"/>
    <x v="4"/>
    <n v="0"/>
    <n v="0"/>
    <n v="0"/>
    <n v="0"/>
    <n v="0"/>
    <n v="0"/>
    <x v="0"/>
  </r>
  <r>
    <x v="0"/>
    <s v="三宅支庁御蔵島村"/>
    <x v="61"/>
    <x v="5"/>
    <n v="6"/>
    <n v="37.5"/>
    <n v="6"/>
    <n v="46.15"/>
    <n v="0"/>
    <n v="0"/>
    <x v="0"/>
  </r>
  <r>
    <x v="0"/>
    <s v="三宅支庁御蔵島村"/>
    <x v="61"/>
    <x v="6"/>
    <n v="3"/>
    <n v="18.75"/>
    <n v="1"/>
    <n v="7.69"/>
    <n v="2"/>
    <n v="66.67"/>
    <x v="0"/>
  </r>
  <r>
    <x v="0"/>
    <s v="三宅支庁御蔵島村"/>
    <x v="61"/>
    <x v="7"/>
    <n v="0"/>
    <n v="0"/>
    <n v="0"/>
    <n v="0"/>
    <n v="0"/>
    <n v="0"/>
    <x v="0"/>
  </r>
  <r>
    <x v="0"/>
    <s v="三宅支庁御蔵島村"/>
    <x v="61"/>
    <x v="8"/>
    <n v="0"/>
    <n v="0"/>
    <n v="0"/>
    <n v="0"/>
    <n v="0"/>
    <n v="0"/>
    <x v="0"/>
  </r>
  <r>
    <x v="0"/>
    <s v="三宅支庁御蔵島村"/>
    <x v="61"/>
    <x v="9"/>
    <n v="0"/>
    <n v="0"/>
    <n v="0"/>
    <n v="0"/>
    <n v="0"/>
    <n v="0"/>
    <x v="0"/>
  </r>
  <r>
    <x v="0"/>
    <s v="三宅支庁御蔵島村"/>
    <x v="61"/>
    <x v="10"/>
    <n v="5"/>
    <n v="31.25"/>
    <n v="5"/>
    <n v="38.46"/>
    <n v="0"/>
    <n v="0"/>
    <x v="0"/>
  </r>
  <r>
    <x v="0"/>
    <s v="三宅支庁御蔵島村"/>
    <x v="61"/>
    <x v="11"/>
    <n v="2"/>
    <n v="12.5"/>
    <n v="1"/>
    <n v="7.69"/>
    <n v="1"/>
    <n v="33.33"/>
    <x v="0"/>
  </r>
  <r>
    <x v="0"/>
    <s v="三宅支庁御蔵島村"/>
    <x v="61"/>
    <x v="12"/>
    <n v="0"/>
    <n v="0"/>
    <n v="0"/>
    <n v="0"/>
    <n v="0"/>
    <n v="0"/>
    <x v="0"/>
  </r>
  <r>
    <x v="0"/>
    <s v="三宅支庁御蔵島村"/>
    <x v="61"/>
    <x v="13"/>
    <n v="0"/>
    <n v="0"/>
    <n v="0"/>
    <n v="0"/>
    <n v="0"/>
    <n v="0"/>
    <x v="0"/>
  </r>
  <r>
    <x v="0"/>
    <s v="三宅支庁御蔵島村"/>
    <x v="61"/>
    <x v="14"/>
    <n v="0"/>
    <n v="0"/>
    <n v="0"/>
    <n v="0"/>
    <n v="0"/>
    <n v="0"/>
    <x v="0"/>
  </r>
  <r>
    <x v="0"/>
    <s v="八丈支庁八丈町"/>
    <x v="62"/>
    <x v="0"/>
    <n v="0"/>
    <n v="0"/>
    <n v="0"/>
    <n v="0"/>
    <n v="0"/>
    <n v="0"/>
    <x v="0"/>
  </r>
  <r>
    <x v="0"/>
    <s v="八丈支庁八丈町"/>
    <x v="62"/>
    <x v="1"/>
    <n v="31"/>
    <n v="8.66"/>
    <n v="9"/>
    <n v="3.75"/>
    <n v="22"/>
    <n v="19.64"/>
    <x v="0"/>
  </r>
  <r>
    <x v="0"/>
    <s v="八丈支庁八丈町"/>
    <x v="62"/>
    <x v="2"/>
    <n v="23"/>
    <n v="6.42"/>
    <n v="10"/>
    <n v="4.17"/>
    <n v="12"/>
    <n v="10.71"/>
    <x v="21"/>
  </r>
  <r>
    <x v="0"/>
    <s v="八丈支庁八丈町"/>
    <x v="62"/>
    <x v="3"/>
    <n v="0"/>
    <n v="0"/>
    <n v="0"/>
    <n v="0"/>
    <n v="0"/>
    <n v="0"/>
    <x v="0"/>
  </r>
  <r>
    <x v="0"/>
    <s v="八丈支庁八丈町"/>
    <x v="62"/>
    <x v="4"/>
    <n v="1"/>
    <n v="0.28000000000000003"/>
    <n v="0"/>
    <n v="0"/>
    <n v="1"/>
    <n v="0.89"/>
    <x v="0"/>
  </r>
  <r>
    <x v="0"/>
    <s v="八丈支庁八丈町"/>
    <x v="62"/>
    <x v="5"/>
    <n v="11"/>
    <n v="3.07"/>
    <n v="5"/>
    <n v="2.08"/>
    <n v="6"/>
    <n v="5.36"/>
    <x v="0"/>
  </r>
  <r>
    <x v="0"/>
    <s v="八丈支庁八丈町"/>
    <x v="62"/>
    <x v="6"/>
    <n v="63"/>
    <n v="17.600000000000001"/>
    <n v="34"/>
    <n v="14.17"/>
    <n v="28"/>
    <n v="25"/>
    <x v="21"/>
  </r>
  <r>
    <x v="0"/>
    <s v="八丈支庁八丈町"/>
    <x v="62"/>
    <x v="7"/>
    <n v="1"/>
    <n v="0.28000000000000003"/>
    <n v="0"/>
    <n v="0"/>
    <n v="1"/>
    <n v="0.89"/>
    <x v="0"/>
  </r>
  <r>
    <x v="0"/>
    <s v="八丈支庁八丈町"/>
    <x v="62"/>
    <x v="8"/>
    <n v="17"/>
    <n v="4.75"/>
    <n v="11"/>
    <n v="4.58"/>
    <n v="6"/>
    <n v="5.36"/>
    <x v="0"/>
  </r>
  <r>
    <x v="0"/>
    <s v="八丈支庁八丈町"/>
    <x v="62"/>
    <x v="9"/>
    <n v="10"/>
    <n v="2.79"/>
    <n v="6"/>
    <n v="2.5"/>
    <n v="3"/>
    <n v="2.68"/>
    <x v="0"/>
  </r>
  <r>
    <x v="0"/>
    <s v="八丈支庁八丈町"/>
    <x v="62"/>
    <x v="10"/>
    <n v="132"/>
    <n v="36.869999999999997"/>
    <n v="112"/>
    <n v="46.67"/>
    <n v="19"/>
    <n v="16.96"/>
    <x v="0"/>
  </r>
  <r>
    <x v="0"/>
    <s v="八丈支庁八丈町"/>
    <x v="62"/>
    <x v="11"/>
    <n v="39"/>
    <n v="10.89"/>
    <n v="35"/>
    <n v="14.58"/>
    <n v="4"/>
    <n v="3.57"/>
    <x v="0"/>
  </r>
  <r>
    <x v="0"/>
    <s v="八丈支庁八丈町"/>
    <x v="62"/>
    <x v="12"/>
    <n v="9"/>
    <n v="2.5099999999999998"/>
    <n v="9"/>
    <n v="3.75"/>
    <n v="0"/>
    <n v="0"/>
    <x v="0"/>
  </r>
  <r>
    <x v="0"/>
    <s v="八丈支庁八丈町"/>
    <x v="62"/>
    <x v="13"/>
    <n v="12"/>
    <n v="3.35"/>
    <n v="7"/>
    <n v="2.92"/>
    <n v="5"/>
    <n v="4.46"/>
    <x v="0"/>
  </r>
  <r>
    <x v="0"/>
    <s v="八丈支庁八丈町"/>
    <x v="62"/>
    <x v="14"/>
    <n v="9"/>
    <n v="2.5099999999999998"/>
    <n v="2"/>
    <n v="0.83"/>
    <n v="5"/>
    <n v="4.46"/>
    <x v="21"/>
  </r>
  <r>
    <x v="0"/>
    <s v="八丈支庁青ヶ島村"/>
    <x v="63"/>
    <x v="0"/>
    <n v="0"/>
    <n v="0"/>
    <n v="0"/>
    <n v="0"/>
    <n v="0"/>
    <n v="0"/>
    <x v="0"/>
  </r>
  <r>
    <x v="0"/>
    <s v="八丈支庁青ヶ島村"/>
    <x v="63"/>
    <x v="1"/>
    <n v="1"/>
    <n v="8.33"/>
    <n v="0"/>
    <n v="0"/>
    <n v="1"/>
    <n v="20"/>
    <x v="0"/>
  </r>
  <r>
    <x v="0"/>
    <s v="八丈支庁青ヶ島村"/>
    <x v="63"/>
    <x v="2"/>
    <n v="2"/>
    <n v="16.670000000000002"/>
    <n v="0"/>
    <n v="0"/>
    <n v="2"/>
    <n v="40"/>
    <x v="0"/>
  </r>
  <r>
    <x v="0"/>
    <s v="八丈支庁青ヶ島村"/>
    <x v="63"/>
    <x v="3"/>
    <n v="0"/>
    <n v="0"/>
    <n v="0"/>
    <n v="0"/>
    <n v="0"/>
    <n v="0"/>
    <x v="0"/>
  </r>
  <r>
    <x v="0"/>
    <s v="八丈支庁青ヶ島村"/>
    <x v="63"/>
    <x v="4"/>
    <n v="0"/>
    <n v="0"/>
    <n v="0"/>
    <n v="0"/>
    <n v="0"/>
    <n v="0"/>
    <x v="0"/>
  </r>
  <r>
    <x v="0"/>
    <s v="八丈支庁青ヶ島村"/>
    <x v="63"/>
    <x v="5"/>
    <n v="0"/>
    <n v="0"/>
    <n v="0"/>
    <n v="0"/>
    <n v="0"/>
    <n v="0"/>
    <x v="0"/>
  </r>
  <r>
    <x v="0"/>
    <s v="八丈支庁青ヶ島村"/>
    <x v="63"/>
    <x v="6"/>
    <n v="1"/>
    <n v="8.33"/>
    <n v="1"/>
    <n v="16.670000000000002"/>
    <n v="0"/>
    <n v="0"/>
    <x v="0"/>
  </r>
  <r>
    <x v="0"/>
    <s v="八丈支庁青ヶ島村"/>
    <x v="63"/>
    <x v="7"/>
    <n v="0"/>
    <n v="0"/>
    <n v="0"/>
    <n v="0"/>
    <n v="0"/>
    <n v="0"/>
    <x v="0"/>
  </r>
  <r>
    <x v="0"/>
    <s v="八丈支庁青ヶ島村"/>
    <x v="63"/>
    <x v="8"/>
    <n v="0"/>
    <n v="0"/>
    <n v="0"/>
    <n v="0"/>
    <n v="0"/>
    <n v="0"/>
    <x v="0"/>
  </r>
  <r>
    <x v="0"/>
    <s v="八丈支庁青ヶ島村"/>
    <x v="63"/>
    <x v="9"/>
    <n v="0"/>
    <n v="0"/>
    <n v="0"/>
    <n v="0"/>
    <n v="0"/>
    <n v="0"/>
    <x v="0"/>
  </r>
  <r>
    <x v="0"/>
    <s v="八丈支庁青ヶ島村"/>
    <x v="63"/>
    <x v="10"/>
    <n v="6"/>
    <n v="50"/>
    <n v="5"/>
    <n v="83.33"/>
    <n v="1"/>
    <n v="20"/>
    <x v="0"/>
  </r>
  <r>
    <x v="0"/>
    <s v="八丈支庁青ヶ島村"/>
    <x v="63"/>
    <x v="11"/>
    <n v="0"/>
    <n v="0"/>
    <n v="0"/>
    <n v="0"/>
    <n v="0"/>
    <n v="0"/>
    <x v="0"/>
  </r>
  <r>
    <x v="0"/>
    <s v="八丈支庁青ヶ島村"/>
    <x v="63"/>
    <x v="12"/>
    <n v="0"/>
    <n v="0"/>
    <n v="0"/>
    <n v="0"/>
    <n v="0"/>
    <n v="0"/>
    <x v="0"/>
  </r>
  <r>
    <x v="0"/>
    <s v="八丈支庁青ヶ島村"/>
    <x v="63"/>
    <x v="13"/>
    <n v="1"/>
    <n v="8.33"/>
    <n v="0"/>
    <n v="0"/>
    <n v="0"/>
    <n v="0"/>
    <x v="0"/>
  </r>
  <r>
    <x v="0"/>
    <s v="八丈支庁青ヶ島村"/>
    <x v="63"/>
    <x v="14"/>
    <n v="1"/>
    <n v="8.33"/>
    <n v="0"/>
    <n v="0"/>
    <n v="1"/>
    <n v="20"/>
    <x v="0"/>
  </r>
  <r>
    <x v="0"/>
    <s v="小笠原支庁小笠原村"/>
    <x v="64"/>
    <x v="0"/>
    <n v="0"/>
    <n v="0"/>
    <n v="0"/>
    <n v="0"/>
    <n v="0"/>
    <n v="0"/>
    <x v="0"/>
  </r>
  <r>
    <x v="0"/>
    <s v="小笠原支庁小笠原村"/>
    <x v="64"/>
    <x v="1"/>
    <n v="18"/>
    <n v="9.42"/>
    <n v="2"/>
    <n v="1.61"/>
    <n v="16"/>
    <n v="24.62"/>
    <x v="0"/>
  </r>
  <r>
    <x v="0"/>
    <s v="小笠原支庁小笠原村"/>
    <x v="64"/>
    <x v="2"/>
    <n v="8"/>
    <n v="4.1900000000000004"/>
    <n v="4"/>
    <n v="3.23"/>
    <n v="4"/>
    <n v="6.15"/>
    <x v="0"/>
  </r>
  <r>
    <x v="0"/>
    <s v="小笠原支庁小笠原村"/>
    <x v="64"/>
    <x v="3"/>
    <n v="1"/>
    <n v="0.52"/>
    <n v="0"/>
    <n v="0"/>
    <n v="0"/>
    <n v="0"/>
    <x v="0"/>
  </r>
  <r>
    <x v="0"/>
    <s v="小笠原支庁小笠原村"/>
    <x v="64"/>
    <x v="4"/>
    <n v="0"/>
    <n v="0"/>
    <n v="0"/>
    <n v="0"/>
    <n v="0"/>
    <n v="0"/>
    <x v="0"/>
  </r>
  <r>
    <x v="0"/>
    <s v="小笠原支庁小笠原村"/>
    <x v="64"/>
    <x v="5"/>
    <n v="3"/>
    <n v="1.57"/>
    <n v="1"/>
    <n v="0.81"/>
    <n v="2"/>
    <n v="3.08"/>
    <x v="0"/>
  </r>
  <r>
    <x v="0"/>
    <s v="小笠原支庁小笠原村"/>
    <x v="64"/>
    <x v="6"/>
    <n v="29"/>
    <n v="15.18"/>
    <n v="19"/>
    <n v="15.32"/>
    <n v="10"/>
    <n v="15.38"/>
    <x v="0"/>
  </r>
  <r>
    <x v="0"/>
    <s v="小笠原支庁小笠原村"/>
    <x v="64"/>
    <x v="7"/>
    <n v="0"/>
    <n v="0"/>
    <n v="0"/>
    <n v="0"/>
    <n v="0"/>
    <n v="0"/>
    <x v="0"/>
  </r>
  <r>
    <x v="0"/>
    <s v="小笠原支庁小笠原村"/>
    <x v="64"/>
    <x v="8"/>
    <n v="20"/>
    <n v="10.47"/>
    <n v="18"/>
    <n v="14.52"/>
    <n v="2"/>
    <n v="3.08"/>
    <x v="0"/>
  </r>
  <r>
    <x v="0"/>
    <s v="小笠原支庁小笠原村"/>
    <x v="64"/>
    <x v="9"/>
    <n v="9"/>
    <n v="4.71"/>
    <n v="2"/>
    <n v="1.61"/>
    <n v="6"/>
    <n v="9.23"/>
    <x v="21"/>
  </r>
  <r>
    <x v="0"/>
    <s v="小笠原支庁小笠原村"/>
    <x v="64"/>
    <x v="10"/>
    <n v="80"/>
    <n v="41.88"/>
    <n v="65"/>
    <n v="52.42"/>
    <n v="15"/>
    <n v="23.08"/>
    <x v="0"/>
  </r>
  <r>
    <x v="0"/>
    <s v="小笠原支庁小笠原村"/>
    <x v="64"/>
    <x v="11"/>
    <n v="16"/>
    <n v="8.3800000000000008"/>
    <n v="10"/>
    <n v="8.06"/>
    <n v="6"/>
    <n v="9.23"/>
    <x v="0"/>
  </r>
  <r>
    <x v="0"/>
    <s v="小笠原支庁小笠原村"/>
    <x v="64"/>
    <x v="12"/>
    <n v="1"/>
    <n v="0.52"/>
    <n v="1"/>
    <n v="0.81"/>
    <n v="0"/>
    <n v="0"/>
    <x v="0"/>
  </r>
  <r>
    <x v="0"/>
    <s v="小笠原支庁小笠原村"/>
    <x v="64"/>
    <x v="13"/>
    <n v="2"/>
    <n v="1.05"/>
    <n v="2"/>
    <n v="1.61"/>
    <n v="0"/>
    <n v="0"/>
    <x v="0"/>
  </r>
  <r>
    <x v="0"/>
    <s v="小笠原支庁小笠原村"/>
    <x v="64"/>
    <x v="14"/>
    <n v="4"/>
    <n v="2.09"/>
    <n v="0"/>
    <n v="0"/>
    <n v="4"/>
    <n v="6.1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7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6"/>
  </r>
  <r>
    <x v="0"/>
    <x v="0"/>
    <x v="0"/>
    <x v="10"/>
    <x v="10"/>
    <x v="10"/>
    <x v="10"/>
    <x v="10"/>
    <x v="10"/>
    <x v="10"/>
    <x v="10"/>
    <x v="10"/>
    <x v="10"/>
    <x v="7"/>
  </r>
  <r>
    <x v="0"/>
    <x v="0"/>
    <x v="0"/>
    <x v="11"/>
    <x v="11"/>
    <x v="11"/>
    <x v="11"/>
    <x v="11"/>
    <x v="11"/>
    <x v="11"/>
    <x v="11"/>
    <x v="11"/>
    <x v="11"/>
    <x v="7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8"/>
  </r>
  <r>
    <x v="0"/>
    <x v="0"/>
    <x v="0"/>
    <x v="14"/>
    <x v="14"/>
    <x v="14"/>
    <x v="14"/>
    <x v="14"/>
    <x v="14"/>
    <x v="14"/>
    <x v="14"/>
    <x v="3"/>
    <x v="3"/>
    <x v="9"/>
  </r>
  <r>
    <x v="0"/>
    <x v="0"/>
    <x v="0"/>
    <x v="15"/>
    <x v="15"/>
    <x v="15"/>
    <x v="15"/>
    <x v="15"/>
    <x v="15"/>
    <x v="15"/>
    <x v="15"/>
    <x v="14"/>
    <x v="14"/>
    <x v="10"/>
  </r>
  <r>
    <x v="0"/>
    <x v="0"/>
    <x v="0"/>
    <x v="16"/>
    <x v="16"/>
    <x v="16"/>
    <x v="16"/>
    <x v="16"/>
    <x v="16"/>
    <x v="16"/>
    <x v="16"/>
    <x v="15"/>
    <x v="15"/>
    <x v="3"/>
  </r>
  <r>
    <x v="0"/>
    <x v="0"/>
    <x v="0"/>
    <x v="17"/>
    <x v="17"/>
    <x v="17"/>
    <x v="17"/>
    <x v="17"/>
    <x v="17"/>
    <x v="17"/>
    <x v="17"/>
    <x v="16"/>
    <x v="16"/>
    <x v="7"/>
  </r>
  <r>
    <x v="0"/>
    <x v="0"/>
    <x v="0"/>
    <x v="18"/>
    <x v="18"/>
    <x v="18"/>
    <x v="18"/>
    <x v="18"/>
    <x v="18"/>
    <x v="18"/>
    <x v="18"/>
    <x v="17"/>
    <x v="17"/>
    <x v="3"/>
  </r>
  <r>
    <x v="0"/>
    <x v="0"/>
    <x v="0"/>
    <x v="19"/>
    <x v="19"/>
    <x v="19"/>
    <x v="19"/>
    <x v="19"/>
    <x v="19"/>
    <x v="19"/>
    <x v="19"/>
    <x v="18"/>
    <x v="18"/>
    <x v="11"/>
  </r>
  <r>
    <x v="0"/>
    <x v="1"/>
    <x v="1"/>
    <x v="0"/>
    <x v="0"/>
    <x v="0"/>
    <x v="0"/>
    <x v="20"/>
    <x v="20"/>
    <x v="20"/>
    <x v="20"/>
    <x v="19"/>
    <x v="19"/>
    <x v="12"/>
  </r>
  <r>
    <x v="0"/>
    <x v="1"/>
    <x v="1"/>
    <x v="1"/>
    <x v="1"/>
    <x v="1"/>
    <x v="1"/>
    <x v="21"/>
    <x v="21"/>
    <x v="21"/>
    <x v="21"/>
    <x v="20"/>
    <x v="20"/>
    <x v="13"/>
  </r>
  <r>
    <x v="0"/>
    <x v="1"/>
    <x v="1"/>
    <x v="2"/>
    <x v="2"/>
    <x v="2"/>
    <x v="2"/>
    <x v="22"/>
    <x v="22"/>
    <x v="22"/>
    <x v="22"/>
    <x v="21"/>
    <x v="21"/>
    <x v="14"/>
  </r>
  <r>
    <x v="0"/>
    <x v="1"/>
    <x v="1"/>
    <x v="3"/>
    <x v="3"/>
    <x v="3"/>
    <x v="3"/>
    <x v="23"/>
    <x v="23"/>
    <x v="23"/>
    <x v="23"/>
    <x v="22"/>
    <x v="22"/>
    <x v="3"/>
  </r>
  <r>
    <x v="0"/>
    <x v="1"/>
    <x v="1"/>
    <x v="4"/>
    <x v="4"/>
    <x v="4"/>
    <x v="4"/>
    <x v="24"/>
    <x v="24"/>
    <x v="24"/>
    <x v="24"/>
    <x v="23"/>
    <x v="23"/>
    <x v="4"/>
  </r>
  <r>
    <x v="0"/>
    <x v="1"/>
    <x v="1"/>
    <x v="5"/>
    <x v="5"/>
    <x v="5"/>
    <x v="5"/>
    <x v="25"/>
    <x v="25"/>
    <x v="25"/>
    <x v="25"/>
    <x v="24"/>
    <x v="24"/>
    <x v="4"/>
  </r>
  <r>
    <x v="0"/>
    <x v="1"/>
    <x v="1"/>
    <x v="7"/>
    <x v="7"/>
    <x v="7"/>
    <x v="6"/>
    <x v="26"/>
    <x v="26"/>
    <x v="26"/>
    <x v="26"/>
    <x v="25"/>
    <x v="25"/>
    <x v="15"/>
  </r>
  <r>
    <x v="0"/>
    <x v="1"/>
    <x v="1"/>
    <x v="6"/>
    <x v="6"/>
    <x v="6"/>
    <x v="7"/>
    <x v="27"/>
    <x v="27"/>
    <x v="27"/>
    <x v="27"/>
    <x v="26"/>
    <x v="26"/>
    <x v="3"/>
  </r>
  <r>
    <x v="0"/>
    <x v="1"/>
    <x v="1"/>
    <x v="8"/>
    <x v="8"/>
    <x v="8"/>
    <x v="8"/>
    <x v="28"/>
    <x v="28"/>
    <x v="28"/>
    <x v="28"/>
    <x v="27"/>
    <x v="27"/>
    <x v="15"/>
  </r>
  <r>
    <x v="0"/>
    <x v="1"/>
    <x v="1"/>
    <x v="9"/>
    <x v="9"/>
    <x v="9"/>
    <x v="9"/>
    <x v="29"/>
    <x v="29"/>
    <x v="29"/>
    <x v="29"/>
    <x v="28"/>
    <x v="28"/>
    <x v="12"/>
  </r>
  <r>
    <x v="0"/>
    <x v="1"/>
    <x v="1"/>
    <x v="11"/>
    <x v="11"/>
    <x v="11"/>
    <x v="10"/>
    <x v="30"/>
    <x v="30"/>
    <x v="30"/>
    <x v="30"/>
    <x v="29"/>
    <x v="29"/>
    <x v="5"/>
  </r>
  <r>
    <x v="0"/>
    <x v="1"/>
    <x v="1"/>
    <x v="12"/>
    <x v="12"/>
    <x v="12"/>
    <x v="11"/>
    <x v="31"/>
    <x v="31"/>
    <x v="31"/>
    <x v="31"/>
    <x v="30"/>
    <x v="30"/>
    <x v="15"/>
  </r>
  <r>
    <x v="0"/>
    <x v="1"/>
    <x v="1"/>
    <x v="10"/>
    <x v="10"/>
    <x v="10"/>
    <x v="12"/>
    <x v="32"/>
    <x v="32"/>
    <x v="32"/>
    <x v="32"/>
    <x v="31"/>
    <x v="31"/>
    <x v="5"/>
  </r>
  <r>
    <x v="0"/>
    <x v="1"/>
    <x v="1"/>
    <x v="14"/>
    <x v="14"/>
    <x v="14"/>
    <x v="13"/>
    <x v="33"/>
    <x v="33"/>
    <x v="33"/>
    <x v="33"/>
    <x v="32"/>
    <x v="32"/>
    <x v="16"/>
  </r>
  <r>
    <x v="0"/>
    <x v="1"/>
    <x v="1"/>
    <x v="13"/>
    <x v="13"/>
    <x v="13"/>
    <x v="14"/>
    <x v="34"/>
    <x v="34"/>
    <x v="34"/>
    <x v="34"/>
    <x v="33"/>
    <x v="33"/>
    <x v="4"/>
  </r>
  <r>
    <x v="0"/>
    <x v="1"/>
    <x v="1"/>
    <x v="15"/>
    <x v="15"/>
    <x v="15"/>
    <x v="15"/>
    <x v="35"/>
    <x v="35"/>
    <x v="35"/>
    <x v="35"/>
    <x v="34"/>
    <x v="34"/>
    <x v="4"/>
  </r>
  <r>
    <x v="0"/>
    <x v="1"/>
    <x v="1"/>
    <x v="16"/>
    <x v="16"/>
    <x v="16"/>
    <x v="16"/>
    <x v="36"/>
    <x v="36"/>
    <x v="36"/>
    <x v="19"/>
    <x v="35"/>
    <x v="35"/>
    <x v="3"/>
  </r>
  <r>
    <x v="0"/>
    <x v="1"/>
    <x v="1"/>
    <x v="17"/>
    <x v="17"/>
    <x v="17"/>
    <x v="17"/>
    <x v="37"/>
    <x v="37"/>
    <x v="37"/>
    <x v="17"/>
    <x v="36"/>
    <x v="36"/>
    <x v="5"/>
  </r>
  <r>
    <x v="0"/>
    <x v="1"/>
    <x v="1"/>
    <x v="19"/>
    <x v="19"/>
    <x v="19"/>
    <x v="18"/>
    <x v="38"/>
    <x v="38"/>
    <x v="38"/>
    <x v="16"/>
    <x v="37"/>
    <x v="37"/>
    <x v="11"/>
  </r>
  <r>
    <x v="0"/>
    <x v="1"/>
    <x v="1"/>
    <x v="20"/>
    <x v="20"/>
    <x v="20"/>
    <x v="19"/>
    <x v="39"/>
    <x v="38"/>
    <x v="39"/>
    <x v="36"/>
    <x v="38"/>
    <x v="9"/>
    <x v="15"/>
  </r>
  <r>
    <x v="0"/>
    <x v="2"/>
    <x v="2"/>
    <x v="2"/>
    <x v="2"/>
    <x v="2"/>
    <x v="0"/>
    <x v="40"/>
    <x v="39"/>
    <x v="40"/>
    <x v="37"/>
    <x v="39"/>
    <x v="38"/>
    <x v="7"/>
  </r>
  <r>
    <x v="0"/>
    <x v="2"/>
    <x v="2"/>
    <x v="0"/>
    <x v="0"/>
    <x v="0"/>
    <x v="1"/>
    <x v="41"/>
    <x v="40"/>
    <x v="41"/>
    <x v="38"/>
    <x v="40"/>
    <x v="39"/>
    <x v="5"/>
  </r>
  <r>
    <x v="0"/>
    <x v="2"/>
    <x v="2"/>
    <x v="1"/>
    <x v="1"/>
    <x v="1"/>
    <x v="2"/>
    <x v="42"/>
    <x v="41"/>
    <x v="42"/>
    <x v="39"/>
    <x v="41"/>
    <x v="40"/>
    <x v="3"/>
  </r>
  <r>
    <x v="0"/>
    <x v="2"/>
    <x v="2"/>
    <x v="4"/>
    <x v="4"/>
    <x v="4"/>
    <x v="3"/>
    <x v="43"/>
    <x v="42"/>
    <x v="43"/>
    <x v="40"/>
    <x v="42"/>
    <x v="41"/>
    <x v="15"/>
  </r>
  <r>
    <x v="0"/>
    <x v="2"/>
    <x v="2"/>
    <x v="14"/>
    <x v="14"/>
    <x v="14"/>
    <x v="4"/>
    <x v="44"/>
    <x v="43"/>
    <x v="44"/>
    <x v="41"/>
    <x v="43"/>
    <x v="42"/>
    <x v="17"/>
  </r>
  <r>
    <x v="0"/>
    <x v="2"/>
    <x v="2"/>
    <x v="17"/>
    <x v="17"/>
    <x v="17"/>
    <x v="5"/>
    <x v="45"/>
    <x v="44"/>
    <x v="45"/>
    <x v="19"/>
    <x v="44"/>
    <x v="43"/>
    <x v="15"/>
  </r>
  <r>
    <x v="0"/>
    <x v="2"/>
    <x v="2"/>
    <x v="19"/>
    <x v="19"/>
    <x v="19"/>
    <x v="6"/>
    <x v="46"/>
    <x v="45"/>
    <x v="46"/>
    <x v="42"/>
    <x v="45"/>
    <x v="44"/>
    <x v="10"/>
  </r>
  <r>
    <x v="0"/>
    <x v="2"/>
    <x v="2"/>
    <x v="16"/>
    <x v="16"/>
    <x v="16"/>
    <x v="7"/>
    <x v="47"/>
    <x v="46"/>
    <x v="47"/>
    <x v="43"/>
    <x v="46"/>
    <x v="45"/>
    <x v="3"/>
  </r>
  <r>
    <x v="0"/>
    <x v="2"/>
    <x v="2"/>
    <x v="15"/>
    <x v="15"/>
    <x v="15"/>
    <x v="8"/>
    <x v="48"/>
    <x v="47"/>
    <x v="45"/>
    <x v="19"/>
    <x v="47"/>
    <x v="46"/>
    <x v="3"/>
  </r>
  <r>
    <x v="0"/>
    <x v="2"/>
    <x v="2"/>
    <x v="12"/>
    <x v="12"/>
    <x v="12"/>
    <x v="9"/>
    <x v="49"/>
    <x v="48"/>
    <x v="45"/>
    <x v="19"/>
    <x v="48"/>
    <x v="47"/>
    <x v="15"/>
  </r>
  <r>
    <x v="0"/>
    <x v="2"/>
    <x v="2"/>
    <x v="21"/>
    <x v="21"/>
    <x v="21"/>
    <x v="10"/>
    <x v="50"/>
    <x v="49"/>
    <x v="48"/>
    <x v="44"/>
    <x v="49"/>
    <x v="48"/>
    <x v="15"/>
  </r>
  <r>
    <x v="0"/>
    <x v="2"/>
    <x v="2"/>
    <x v="13"/>
    <x v="13"/>
    <x v="13"/>
    <x v="11"/>
    <x v="51"/>
    <x v="50"/>
    <x v="49"/>
    <x v="45"/>
    <x v="50"/>
    <x v="49"/>
    <x v="3"/>
  </r>
  <r>
    <x v="0"/>
    <x v="2"/>
    <x v="2"/>
    <x v="11"/>
    <x v="11"/>
    <x v="11"/>
    <x v="12"/>
    <x v="52"/>
    <x v="51"/>
    <x v="50"/>
    <x v="46"/>
    <x v="51"/>
    <x v="50"/>
    <x v="15"/>
  </r>
  <r>
    <x v="0"/>
    <x v="2"/>
    <x v="2"/>
    <x v="7"/>
    <x v="7"/>
    <x v="7"/>
    <x v="13"/>
    <x v="53"/>
    <x v="52"/>
    <x v="51"/>
    <x v="47"/>
    <x v="52"/>
    <x v="51"/>
    <x v="15"/>
  </r>
  <r>
    <x v="0"/>
    <x v="2"/>
    <x v="2"/>
    <x v="5"/>
    <x v="5"/>
    <x v="5"/>
    <x v="14"/>
    <x v="54"/>
    <x v="53"/>
    <x v="52"/>
    <x v="48"/>
    <x v="53"/>
    <x v="52"/>
    <x v="15"/>
  </r>
  <r>
    <x v="0"/>
    <x v="2"/>
    <x v="2"/>
    <x v="9"/>
    <x v="9"/>
    <x v="9"/>
    <x v="15"/>
    <x v="55"/>
    <x v="54"/>
    <x v="53"/>
    <x v="49"/>
    <x v="54"/>
    <x v="53"/>
    <x v="4"/>
  </r>
  <r>
    <x v="0"/>
    <x v="2"/>
    <x v="2"/>
    <x v="20"/>
    <x v="20"/>
    <x v="20"/>
    <x v="16"/>
    <x v="56"/>
    <x v="55"/>
    <x v="54"/>
    <x v="31"/>
    <x v="55"/>
    <x v="54"/>
    <x v="15"/>
  </r>
  <r>
    <x v="0"/>
    <x v="2"/>
    <x v="2"/>
    <x v="22"/>
    <x v="22"/>
    <x v="22"/>
    <x v="17"/>
    <x v="57"/>
    <x v="56"/>
    <x v="55"/>
    <x v="50"/>
    <x v="56"/>
    <x v="55"/>
    <x v="3"/>
  </r>
  <r>
    <x v="0"/>
    <x v="2"/>
    <x v="2"/>
    <x v="23"/>
    <x v="23"/>
    <x v="23"/>
    <x v="18"/>
    <x v="58"/>
    <x v="57"/>
    <x v="56"/>
    <x v="51"/>
    <x v="57"/>
    <x v="56"/>
    <x v="15"/>
  </r>
  <r>
    <x v="0"/>
    <x v="2"/>
    <x v="2"/>
    <x v="6"/>
    <x v="6"/>
    <x v="6"/>
    <x v="19"/>
    <x v="59"/>
    <x v="58"/>
    <x v="56"/>
    <x v="51"/>
    <x v="58"/>
    <x v="57"/>
    <x v="3"/>
  </r>
  <r>
    <x v="0"/>
    <x v="3"/>
    <x v="3"/>
    <x v="2"/>
    <x v="2"/>
    <x v="2"/>
    <x v="0"/>
    <x v="60"/>
    <x v="59"/>
    <x v="57"/>
    <x v="52"/>
    <x v="59"/>
    <x v="58"/>
    <x v="3"/>
  </r>
  <r>
    <x v="0"/>
    <x v="3"/>
    <x v="3"/>
    <x v="1"/>
    <x v="1"/>
    <x v="1"/>
    <x v="1"/>
    <x v="61"/>
    <x v="60"/>
    <x v="58"/>
    <x v="53"/>
    <x v="60"/>
    <x v="59"/>
    <x v="15"/>
  </r>
  <r>
    <x v="0"/>
    <x v="3"/>
    <x v="3"/>
    <x v="0"/>
    <x v="0"/>
    <x v="0"/>
    <x v="2"/>
    <x v="62"/>
    <x v="61"/>
    <x v="59"/>
    <x v="54"/>
    <x v="61"/>
    <x v="60"/>
    <x v="3"/>
  </r>
  <r>
    <x v="0"/>
    <x v="3"/>
    <x v="3"/>
    <x v="4"/>
    <x v="4"/>
    <x v="4"/>
    <x v="3"/>
    <x v="63"/>
    <x v="62"/>
    <x v="59"/>
    <x v="54"/>
    <x v="62"/>
    <x v="61"/>
    <x v="15"/>
  </r>
  <r>
    <x v="0"/>
    <x v="3"/>
    <x v="3"/>
    <x v="14"/>
    <x v="14"/>
    <x v="14"/>
    <x v="4"/>
    <x v="64"/>
    <x v="63"/>
    <x v="60"/>
    <x v="55"/>
    <x v="63"/>
    <x v="62"/>
    <x v="10"/>
  </r>
  <r>
    <x v="0"/>
    <x v="3"/>
    <x v="3"/>
    <x v="15"/>
    <x v="15"/>
    <x v="15"/>
    <x v="5"/>
    <x v="65"/>
    <x v="64"/>
    <x v="54"/>
    <x v="56"/>
    <x v="64"/>
    <x v="63"/>
    <x v="5"/>
  </r>
  <r>
    <x v="0"/>
    <x v="3"/>
    <x v="3"/>
    <x v="23"/>
    <x v="23"/>
    <x v="23"/>
    <x v="6"/>
    <x v="66"/>
    <x v="65"/>
    <x v="54"/>
    <x v="56"/>
    <x v="65"/>
    <x v="64"/>
    <x v="15"/>
  </r>
  <r>
    <x v="0"/>
    <x v="3"/>
    <x v="3"/>
    <x v="3"/>
    <x v="3"/>
    <x v="3"/>
    <x v="7"/>
    <x v="67"/>
    <x v="66"/>
    <x v="61"/>
    <x v="57"/>
    <x v="66"/>
    <x v="65"/>
    <x v="15"/>
  </r>
  <r>
    <x v="0"/>
    <x v="3"/>
    <x v="3"/>
    <x v="5"/>
    <x v="5"/>
    <x v="5"/>
    <x v="8"/>
    <x v="68"/>
    <x v="67"/>
    <x v="62"/>
    <x v="58"/>
    <x v="67"/>
    <x v="66"/>
    <x v="15"/>
  </r>
  <r>
    <x v="0"/>
    <x v="3"/>
    <x v="3"/>
    <x v="24"/>
    <x v="24"/>
    <x v="24"/>
    <x v="9"/>
    <x v="69"/>
    <x v="68"/>
    <x v="63"/>
    <x v="36"/>
    <x v="68"/>
    <x v="67"/>
    <x v="15"/>
  </r>
  <r>
    <x v="0"/>
    <x v="3"/>
    <x v="3"/>
    <x v="12"/>
    <x v="12"/>
    <x v="12"/>
    <x v="10"/>
    <x v="70"/>
    <x v="30"/>
    <x v="48"/>
    <x v="17"/>
    <x v="69"/>
    <x v="68"/>
    <x v="15"/>
  </r>
  <r>
    <x v="0"/>
    <x v="3"/>
    <x v="3"/>
    <x v="11"/>
    <x v="11"/>
    <x v="11"/>
    <x v="11"/>
    <x v="71"/>
    <x v="32"/>
    <x v="64"/>
    <x v="59"/>
    <x v="70"/>
    <x v="69"/>
    <x v="15"/>
  </r>
  <r>
    <x v="0"/>
    <x v="3"/>
    <x v="3"/>
    <x v="21"/>
    <x v="21"/>
    <x v="21"/>
    <x v="12"/>
    <x v="72"/>
    <x v="69"/>
    <x v="65"/>
    <x v="60"/>
    <x v="71"/>
    <x v="70"/>
    <x v="15"/>
  </r>
  <r>
    <x v="0"/>
    <x v="3"/>
    <x v="3"/>
    <x v="16"/>
    <x v="16"/>
    <x v="16"/>
    <x v="13"/>
    <x v="73"/>
    <x v="70"/>
    <x v="56"/>
    <x v="61"/>
    <x v="72"/>
    <x v="71"/>
    <x v="15"/>
  </r>
  <r>
    <x v="0"/>
    <x v="3"/>
    <x v="3"/>
    <x v="17"/>
    <x v="17"/>
    <x v="17"/>
    <x v="14"/>
    <x v="74"/>
    <x v="13"/>
    <x v="66"/>
    <x v="62"/>
    <x v="73"/>
    <x v="72"/>
    <x v="5"/>
  </r>
  <r>
    <x v="0"/>
    <x v="3"/>
    <x v="3"/>
    <x v="7"/>
    <x v="7"/>
    <x v="7"/>
    <x v="15"/>
    <x v="75"/>
    <x v="71"/>
    <x v="67"/>
    <x v="63"/>
    <x v="74"/>
    <x v="73"/>
    <x v="15"/>
  </r>
  <r>
    <x v="0"/>
    <x v="3"/>
    <x v="3"/>
    <x v="20"/>
    <x v="20"/>
    <x v="20"/>
    <x v="16"/>
    <x v="76"/>
    <x v="72"/>
    <x v="63"/>
    <x v="36"/>
    <x v="75"/>
    <x v="74"/>
    <x v="15"/>
  </r>
  <r>
    <x v="0"/>
    <x v="3"/>
    <x v="3"/>
    <x v="13"/>
    <x v="13"/>
    <x v="13"/>
    <x v="17"/>
    <x v="77"/>
    <x v="73"/>
    <x v="53"/>
    <x v="64"/>
    <x v="76"/>
    <x v="75"/>
    <x v="15"/>
  </r>
  <r>
    <x v="0"/>
    <x v="3"/>
    <x v="3"/>
    <x v="19"/>
    <x v="19"/>
    <x v="19"/>
    <x v="18"/>
    <x v="78"/>
    <x v="55"/>
    <x v="44"/>
    <x v="43"/>
    <x v="77"/>
    <x v="76"/>
    <x v="5"/>
  </r>
  <r>
    <x v="0"/>
    <x v="3"/>
    <x v="3"/>
    <x v="9"/>
    <x v="9"/>
    <x v="9"/>
    <x v="19"/>
    <x v="79"/>
    <x v="74"/>
    <x v="67"/>
    <x v="63"/>
    <x v="78"/>
    <x v="77"/>
    <x v="3"/>
  </r>
  <r>
    <x v="0"/>
    <x v="4"/>
    <x v="4"/>
    <x v="2"/>
    <x v="2"/>
    <x v="2"/>
    <x v="0"/>
    <x v="80"/>
    <x v="75"/>
    <x v="68"/>
    <x v="65"/>
    <x v="79"/>
    <x v="78"/>
    <x v="13"/>
  </r>
  <r>
    <x v="0"/>
    <x v="4"/>
    <x v="4"/>
    <x v="0"/>
    <x v="0"/>
    <x v="0"/>
    <x v="1"/>
    <x v="81"/>
    <x v="76"/>
    <x v="69"/>
    <x v="66"/>
    <x v="80"/>
    <x v="79"/>
    <x v="3"/>
  </r>
  <r>
    <x v="0"/>
    <x v="4"/>
    <x v="4"/>
    <x v="1"/>
    <x v="1"/>
    <x v="1"/>
    <x v="2"/>
    <x v="82"/>
    <x v="77"/>
    <x v="70"/>
    <x v="67"/>
    <x v="81"/>
    <x v="80"/>
    <x v="15"/>
  </r>
  <r>
    <x v="0"/>
    <x v="4"/>
    <x v="4"/>
    <x v="14"/>
    <x v="14"/>
    <x v="14"/>
    <x v="3"/>
    <x v="83"/>
    <x v="78"/>
    <x v="54"/>
    <x v="56"/>
    <x v="82"/>
    <x v="81"/>
    <x v="18"/>
  </r>
  <r>
    <x v="0"/>
    <x v="4"/>
    <x v="4"/>
    <x v="4"/>
    <x v="4"/>
    <x v="4"/>
    <x v="4"/>
    <x v="84"/>
    <x v="79"/>
    <x v="71"/>
    <x v="68"/>
    <x v="83"/>
    <x v="82"/>
    <x v="15"/>
  </r>
  <r>
    <x v="0"/>
    <x v="4"/>
    <x v="4"/>
    <x v="12"/>
    <x v="12"/>
    <x v="12"/>
    <x v="5"/>
    <x v="85"/>
    <x v="80"/>
    <x v="45"/>
    <x v="50"/>
    <x v="84"/>
    <x v="83"/>
    <x v="15"/>
  </r>
  <r>
    <x v="0"/>
    <x v="4"/>
    <x v="4"/>
    <x v="3"/>
    <x v="3"/>
    <x v="3"/>
    <x v="6"/>
    <x v="86"/>
    <x v="81"/>
    <x v="72"/>
    <x v="69"/>
    <x v="85"/>
    <x v="76"/>
    <x v="15"/>
  </r>
  <r>
    <x v="0"/>
    <x v="4"/>
    <x v="4"/>
    <x v="5"/>
    <x v="5"/>
    <x v="5"/>
    <x v="7"/>
    <x v="87"/>
    <x v="82"/>
    <x v="73"/>
    <x v="70"/>
    <x v="86"/>
    <x v="84"/>
    <x v="3"/>
  </r>
  <r>
    <x v="0"/>
    <x v="4"/>
    <x v="4"/>
    <x v="19"/>
    <x v="19"/>
    <x v="19"/>
    <x v="8"/>
    <x v="88"/>
    <x v="9"/>
    <x v="74"/>
    <x v="35"/>
    <x v="87"/>
    <x v="85"/>
    <x v="5"/>
  </r>
  <r>
    <x v="0"/>
    <x v="4"/>
    <x v="4"/>
    <x v="17"/>
    <x v="17"/>
    <x v="17"/>
    <x v="9"/>
    <x v="89"/>
    <x v="83"/>
    <x v="66"/>
    <x v="62"/>
    <x v="88"/>
    <x v="27"/>
    <x v="15"/>
  </r>
  <r>
    <x v="0"/>
    <x v="4"/>
    <x v="4"/>
    <x v="13"/>
    <x v="13"/>
    <x v="13"/>
    <x v="10"/>
    <x v="90"/>
    <x v="31"/>
    <x v="75"/>
    <x v="71"/>
    <x v="89"/>
    <x v="86"/>
    <x v="3"/>
  </r>
  <r>
    <x v="0"/>
    <x v="4"/>
    <x v="4"/>
    <x v="16"/>
    <x v="16"/>
    <x v="16"/>
    <x v="11"/>
    <x v="91"/>
    <x v="13"/>
    <x v="48"/>
    <x v="17"/>
    <x v="90"/>
    <x v="87"/>
    <x v="15"/>
  </r>
  <r>
    <x v="0"/>
    <x v="4"/>
    <x v="4"/>
    <x v="15"/>
    <x v="15"/>
    <x v="15"/>
    <x v="12"/>
    <x v="92"/>
    <x v="84"/>
    <x v="76"/>
    <x v="72"/>
    <x v="91"/>
    <x v="13"/>
    <x v="15"/>
  </r>
  <r>
    <x v="0"/>
    <x v="4"/>
    <x v="4"/>
    <x v="9"/>
    <x v="9"/>
    <x v="9"/>
    <x v="13"/>
    <x v="93"/>
    <x v="85"/>
    <x v="77"/>
    <x v="73"/>
    <x v="92"/>
    <x v="88"/>
    <x v="7"/>
  </r>
  <r>
    <x v="0"/>
    <x v="4"/>
    <x v="4"/>
    <x v="25"/>
    <x v="25"/>
    <x v="25"/>
    <x v="14"/>
    <x v="94"/>
    <x v="86"/>
    <x v="78"/>
    <x v="74"/>
    <x v="93"/>
    <x v="89"/>
    <x v="3"/>
  </r>
  <r>
    <x v="0"/>
    <x v="4"/>
    <x v="4"/>
    <x v="11"/>
    <x v="11"/>
    <x v="11"/>
    <x v="15"/>
    <x v="95"/>
    <x v="54"/>
    <x v="79"/>
    <x v="75"/>
    <x v="92"/>
    <x v="88"/>
    <x v="15"/>
  </r>
  <r>
    <x v="0"/>
    <x v="4"/>
    <x v="4"/>
    <x v="7"/>
    <x v="7"/>
    <x v="7"/>
    <x v="16"/>
    <x v="96"/>
    <x v="87"/>
    <x v="80"/>
    <x v="76"/>
    <x v="74"/>
    <x v="90"/>
    <x v="15"/>
  </r>
  <r>
    <x v="0"/>
    <x v="4"/>
    <x v="4"/>
    <x v="21"/>
    <x v="21"/>
    <x v="21"/>
    <x v="17"/>
    <x v="77"/>
    <x v="88"/>
    <x v="56"/>
    <x v="61"/>
    <x v="75"/>
    <x v="91"/>
    <x v="15"/>
  </r>
  <r>
    <x v="0"/>
    <x v="4"/>
    <x v="4"/>
    <x v="23"/>
    <x v="23"/>
    <x v="23"/>
    <x v="18"/>
    <x v="97"/>
    <x v="56"/>
    <x v="81"/>
    <x v="14"/>
    <x v="94"/>
    <x v="92"/>
    <x v="3"/>
  </r>
  <r>
    <x v="0"/>
    <x v="4"/>
    <x v="4"/>
    <x v="26"/>
    <x v="26"/>
    <x v="26"/>
    <x v="19"/>
    <x v="98"/>
    <x v="89"/>
    <x v="48"/>
    <x v="17"/>
    <x v="95"/>
    <x v="93"/>
    <x v="15"/>
  </r>
  <r>
    <x v="0"/>
    <x v="5"/>
    <x v="5"/>
    <x v="1"/>
    <x v="1"/>
    <x v="1"/>
    <x v="0"/>
    <x v="99"/>
    <x v="90"/>
    <x v="82"/>
    <x v="77"/>
    <x v="96"/>
    <x v="94"/>
    <x v="3"/>
  </r>
  <r>
    <x v="0"/>
    <x v="5"/>
    <x v="5"/>
    <x v="0"/>
    <x v="0"/>
    <x v="0"/>
    <x v="1"/>
    <x v="100"/>
    <x v="91"/>
    <x v="83"/>
    <x v="78"/>
    <x v="97"/>
    <x v="95"/>
    <x v="7"/>
  </r>
  <r>
    <x v="0"/>
    <x v="5"/>
    <x v="5"/>
    <x v="2"/>
    <x v="2"/>
    <x v="2"/>
    <x v="2"/>
    <x v="101"/>
    <x v="92"/>
    <x v="84"/>
    <x v="79"/>
    <x v="98"/>
    <x v="96"/>
    <x v="5"/>
  </r>
  <r>
    <x v="0"/>
    <x v="5"/>
    <x v="5"/>
    <x v="3"/>
    <x v="3"/>
    <x v="3"/>
    <x v="3"/>
    <x v="102"/>
    <x v="93"/>
    <x v="85"/>
    <x v="80"/>
    <x v="99"/>
    <x v="13"/>
    <x v="15"/>
  </r>
  <r>
    <x v="0"/>
    <x v="5"/>
    <x v="5"/>
    <x v="4"/>
    <x v="4"/>
    <x v="4"/>
    <x v="4"/>
    <x v="103"/>
    <x v="94"/>
    <x v="86"/>
    <x v="81"/>
    <x v="100"/>
    <x v="97"/>
    <x v="15"/>
  </r>
  <r>
    <x v="0"/>
    <x v="5"/>
    <x v="5"/>
    <x v="12"/>
    <x v="12"/>
    <x v="12"/>
    <x v="5"/>
    <x v="104"/>
    <x v="95"/>
    <x v="78"/>
    <x v="56"/>
    <x v="101"/>
    <x v="98"/>
    <x v="15"/>
  </r>
  <r>
    <x v="0"/>
    <x v="5"/>
    <x v="5"/>
    <x v="5"/>
    <x v="5"/>
    <x v="5"/>
    <x v="6"/>
    <x v="87"/>
    <x v="96"/>
    <x v="87"/>
    <x v="82"/>
    <x v="102"/>
    <x v="99"/>
    <x v="15"/>
  </r>
  <r>
    <x v="0"/>
    <x v="5"/>
    <x v="5"/>
    <x v="13"/>
    <x v="13"/>
    <x v="13"/>
    <x v="7"/>
    <x v="105"/>
    <x v="8"/>
    <x v="88"/>
    <x v="83"/>
    <x v="103"/>
    <x v="100"/>
    <x v="15"/>
  </r>
  <r>
    <x v="0"/>
    <x v="5"/>
    <x v="5"/>
    <x v="19"/>
    <x v="19"/>
    <x v="19"/>
    <x v="8"/>
    <x v="106"/>
    <x v="66"/>
    <x v="89"/>
    <x v="84"/>
    <x v="104"/>
    <x v="101"/>
    <x v="10"/>
  </r>
  <r>
    <x v="0"/>
    <x v="5"/>
    <x v="5"/>
    <x v="14"/>
    <x v="14"/>
    <x v="14"/>
    <x v="9"/>
    <x v="107"/>
    <x v="97"/>
    <x v="46"/>
    <x v="85"/>
    <x v="105"/>
    <x v="46"/>
    <x v="13"/>
  </r>
  <r>
    <x v="0"/>
    <x v="5"/>
    <x v="5"/>
    <x v="11"/>
    <x v="11"/>
    <x v="11"/>
    <x v="10"/>
    <x v="108"/>
    <x v="98"/>
    <x v="90"/>
    <x v="86"/>
    <x v="106"/>
    <x v="102"/>
    <x v="15"/>
  </r>
  <r>
    <x v="0"/>
    <x v="5"/>
    <x v="5"/>
    <x v="9"/>
    <x v="9"/>
    <x v="9"/>
    <x v="11"/>
    <x v="109"/>
    <x v="99"/>
    <x v="59"/>
    <x v="87"/>
    <x v="52"/>
    <x v="103"/>
    <x v="4"/>
  </r>
  <r>
    <x v="0"/>
    <x v="5"/>
    <x v="5"/>
    <x v="17"/>
    <x v="17"/>
    <x v="17"/>
    <x v="12"/>
    <x v="110"/>
    <x v="100"/>
    <x v="47"/>
    <x v="88"/>
    <x v="91"/>
    <x v="104"/>
    <x v="15"/>
  </r>
  <r>
    <x v="0"/>
    <x v="5"/>
    <x v="5"/>
    <x v="20"/>
    <x v="20"/>
    <x v="20"/>
    <x v="13"/>
    <x v="111"/>
    <x v="101"/>
    <x v="50"/>
    <x v="89"/>
    <x v="107"/>
    <x v="105"/>
    <x v="15"/>
  </r>
  <r>
    <x v="0"/>
    <x v="5"/>
    <x v="5"/>
    <x v="7"/>
    <x v="7"/>
    <x v="7"/>
    <x v="13"/>
    <x v="111"/>
    <x v="101"/>
    <x v="91"/>
    <x v="63"/>
    <x v="108"/>
    <x v="106"/>
    <x v="15"/>
  </r>
  <r>
    <x v="0"/>
    <x v="5"/>
    <x v="5"/>
    <x v="15"/>
    <x v="15"/>
    <x v="15"/>
    <x v="15"/>
    <x v="78"/>
    <x v="102"/>
    <x v="44"/>
    <x v="50"/>
    <x v="109"/>
    <x v="107"/>
    <x v="15"/>
  </r>
  <r>
    <x v="0"/>
    <x v="5"/>
    <x v="5"/>
    <x v="8"/>
    <x v="8"/>
    <x v="8"/>
    <x v="16"/>
    <x v="112"/>
    <x v="103"/>
    <x v="54"/>
    <x v="41"/>
    <x v="110"/>
    <x v="73"/>
    <x v="15"/>
  </r>
  <r>
    <x v="0"/>
    <x v="5"/>
    <x v="5"/>
    <x v="6"/>
    <x v="6"/>
    <x v="6"/>
    <x v="17"/>
    <x v="113"/>
    <x v="104"/>
    <x v="92"/>
    <x v="90"/>
    <x v="111"/>
    <x v="54"/>
    <x v="15"/>
  </r>
  <r>
    <x v="0"/>
    <x v="5"/>
    <x v="5"/>
    <x v="27"/>
    <x v="27"/>
    <x v="27"/>
    <x v="18"/>
    <x v="114"/>
    <x v="105"/>
    <x v="51"/>
    <x v="91"/>
    <x v="57"/>
    <x v="57"/>
    <x v="15"/>
  </r>
  <r>
    <x v="0"/>
    <x v="5"/>
    <x v="5"/>
    <x v="10"/>
    <x v="10"/>
    <x v="10"/>
    <x v="19"/>
    <x v="115"/>
    <x v="106"/>
    <x v="55"/>
    <x v="61"/>
    <x v="112"/>
    <x v="28"/>
    <x v="15"/>
  </r>
  <r>
    <x v="0"/>
    <x v="6"/>
    <x v="6"/>
    <x v="0"/>
    <x v="0"/>
    <x v="0"/>
    <x v="0"/>
    <x v="116"/>
    <x v="107"/>
    <x v="93"/>
    <x v="92"/>
    <x v="113"/>
    <x v="108"/>
    <x v="15"/>
  </r>
  <r>
    <x v="0"/>
    <x v="6"/>
    <x v="6"/>
    <x v="1"/>
    <x v="1"/>
    <x v="1"/>
    <x v="1"/>
    <x v="117"/>
    <x v="108"/>
    <x v="94"/>
    <x v="93"/>
    <x v="114"/>
    <x v="109"/>
    <x v="15"/>
  </r>
  <r>
    <x v="0"/>
    <x v="6"/>
    <x v="6"/>
    <x v="2"/>
    <x v="2"/>
    <x v="2"/>
    <x v="2"/>
    <x v="118"/>
    <x v="109"/>
    <x v="95"/>
    <x v="94"/>
    <x v="115"/>
    <x v="110"/>
    <x v="15"/>
  </r>
  <r>
    <x v="0"/>
    <x v="6"/>
    <x v="6"/>
    <x v="4"/>
    <x v="4"/>
    <x v="4"/>
    <x v="3"/>
    <x v="119"/>
    <x v="110"/>
    <x v="96"/>
    <x v="95"/>
    <x v="116"/>
    <x v="6"/>
    <x v="15"/>
  </r>
  <r>
    <x v="0"/>
    <x v="6"/>
    <x v="6"/>
    <x v="3"/>
    <x v="3"/>
    <x v="3"/>
    <x v="4"/>
    <x v="120"/>
    <x v="111"/>
    <x v="16"/>
    <x v="96"/>
    <x v="117"/>
    <x v="111"/>
    <x v="15"/>
  </r>
  <r>
    <x v="0"/>
    <x v="6"/>
    <x v="6"/>
    <x v="20"/>
    <x v="20"/>
    <x v="20"/>
    <x v="5"/>
    <x v="94"/>
    <x v="112"/>
    <x v="49"/>
    <x v="13"/>
    <x v="118"/>
    <x v="112"/>
    <x v="15"/>
  </r>
  <r>
    <x v="0"/>
    <x v="6"/>
    <x v="6"/>
    <x v="5"/>
    <x v="5"/>
    <x v="5"/>
    <x v="6"/>
    <x v="112"/>
    <x v="113"/>
    <x v="97"/>
    <x v="97"/>
    <x v="119"/>
    <x v="24"/>
    <x v="15"/>
  </r>
  <r>
    <x v="0"/>
    <x v="6"/>
    <x v="6"/>
    <x v="7"/>
    <x v="7"/>
    <x v="7"/>
    <x v="7"/>
    <x v="121"/>
    <x v="114"/>
    <x v="98"/>
    <x v="98"/>
    <x v="120"/>
    <x v="107"/>
    <x v="15"/>
  </r>
  <r>
    <x v="0"/>
    <x v="6"/>
    <x v="6"/>
    <x v="9"/>
    <x v="9"/>
    <x v="9"/>
    <x v="8"/>
    <x v="122"/>
    <x v="115"/>
    <x v="99"/>
    <x v="99"/>
    <x v="121"/>
    <x v="113"/>
    <x v="7"/>
  </r>
  <r>
    <x v="0"/>
    <x v="6"/>
    <x v="6"/>
    <x v="13"/>
    <x v="13"/>
    <x v="13"/>
    <x v="9"/>
    <x v="123"/>
    <x v="116"/>
    <x v="100"/>
    <x v="100"/>
    <x v="122"/>
    <x v="85"/>
    <x v="15"/>
  </r>
  <r>
    <x v="0"/>
    <x v="6"/>
    <x v="6"/>
    <x v="15"/>
    <x v="15"/>
    <x v="15"/>
    <x v="10"/>
    <x v="124"/>
    <x v="117"/>
    <x v="46"/>
    <x v="101"/>
    <x v="123"/>
    <x v="101"/>
    <x v="15"/>
  </r>
  <r>
    <x v="0"/>
    <x v="6"/>
    <x v="6"/>
    <x v="16"/>
    <x v="16"/>
    <x v="16"/>
    <x v="11"/>
    <x v="125"/>
    <x v="48"/>
    <x v="44"/>
    <x v="14"/>
    <x v="124"/>
    <x v="114"/>
    <x v="15"/>
  </r>
  <r>
    <x v="0"/>
    <x v="6"/>
    <x v="6"/>
    <x v="19"/>
    <x v="19"/>
    <x v="19"/>
    <x v="12"/>
    <x v="126"/>
    <x v="118"/>
    <x v="101"/>
    <x v="31"/>
    <x v="123"/>
    <x v="101"/>
    <x v="15"/>
  </r>
  <r>
    <x v="0"/>
    <x v="6"/>
    <x v="6"/>
    <x v="14"/>
    <x v="14"/>
    <x v="14"/>
    <x v="13"/>
    <x v="127"/>
    <x v="33"/>
    <x v="44"/>
    <x v="14"/>
    <x v="125"/>
    <x v="115"/>
    <x v="19"/>
  </r>
  <r>
    <x v="0"/>
    <x v="6"/>
    <x v="6"/>
    <x v="6"/>
    <x v="6"/>
    <x v="6"/>
    <x v="14"/>
    <x v="128"/>
    <x v="119"/>
    <x v="102"/>
    <x v="102"/>
    <x v="126"/>
    <x v="116"/>
    <x v="15"/>
  </r>
  <r>
    <x v="0"/>
    <x v="6"/>
    <x v="6"/>
    <x v="12"/>
    <x v="12"/>
    <x v="12"/>
    <x v="15"/>
    <x v="129"/>
    <x v="120"/>
    <x v="103"/>
    <x v="103"/>
    <x v="127"/>
    <x v="50"/>
    <x v="15"/>
  </r>
  <r>
    <x v="0"/>
    <x v="6"/>
    <x v="6"/>
    <x v="17"/>
    <x v="17"/>
    <x v="17"/>
    <x v="16"/>
    <x v="130"/>
    <x v="121"/>
    <x v="66"/>
    <x v="104"/>
    <x v="128"/>
    <x v="14"/>
    <x v="15"/>
  </r>
  <r>
    <x v="0"/>
    <x v="6"/>
    <x v="6"/>
    <x v="11"/>
    <x v="11"/>
    <x v="11"/>
    <x v="17"/>
    <x v="131"/>
    <x v="104"/>
    <x v="104"/>
    <x v="105"/>
    <x v="129"/>
    <x v="117"/>
    <x v="15"/>
  </r>
  <r>
    <x v="0"/>
    <x v="6"/>
    <x v="6"/>
    <x v="10"/>
    <x v="10"/>
    <x v="10"/>
    <x v="18"/>
    <x v="132"/>
    <x v="122"/>
    <x v="46"/>
    <x v="101"/>
    <x v="130"/>
    <x v="90"/>
    <x v="3"/>
  </r>
  <r>
    <x v="0"/>
    <x v="6"/>
    <x v="6"/>
    <x v="8"/>
    <x v="8"/>
    <x v="8"/>
    <x v="19"/>
    <x v="133"/>
    <x v="123"/>
    <x v="47"/>
    <x v="106"/>
    <x v="131"/>
    <x v="118"/>
    <x v="15"/>
  </r>
  <r>
    <x v="0"/>
    <x v="7"/>
    <x v="7"/>
    <x v="1"/>
    <x v="1"/>
    <x v="1"/>
    <x v="0"/>
    <x v="134"/>
    <x v="124"/>
    <x v="105"/>
    <x v="107"/>
    <x v="132"/>
    <x v="119"/>
    <x v="3"/>
  </r>
  <r>
    <x v="0"/>
    <x v="7"/>
    <x v="7"/>
    <x v="0"/>
    <x v="0"/>
    <x v="0"/>
    <x v="1"/>
    <x v="135"/>
    <x v="125"/>
    <x v="106"/>
    <x v="108"/>
    <x v="133"/>
    <x v="120"/>
    <x v="3"/>
  </r>
  <r>
    <x v="0"/>
    <x v="7"/>
    <x v="7"/>
    <x v="15"/>
    <x v="15"/>
    <x v="15"/>
    <x v="2"/>
    <x v="136"/>
    <x v="126"/>
    <x v="107"/>
    <x v="109"/>
    <x v="134"/>
    <x v="121"/>
    <x v="3"/>
  </r>
  <r>
    <x v="0"/>
    <x v="7"/>
    <x v="7"/>
    <x v="4"/>
    <x v="4"/>
    <x v="4"/>
    <x v="3"/>
    <x v="137"/>
    <x v="127"/>
    <x v="108"/>
    <x v="110"/>
    <x v="135"/>
    <x v="122"/>
    <x v="15"/>
  </r>
  <r>
    <x v="0"/>
    <x v="7"/>
    <x v="7"/>
    <x v="2"/>
    <x v="2"/>
    <x v="2"/>
    <x v="4"/>
    <x v="138"/>
    <x v="128"/>
    <x v="73"/>
    <x v="111"/>
    <x v="136"/>
    <x v="123"/>
    <x v="5"/>
  </r>
  <r>
    <x v="0"/>
    <x v="7"/>
    <x v="7"/>
    <x v="11"/>
    <x v="11"/>
    <x v="11"/>
    <x v="5"/>
    <x v="139"/>
    <x v="129"/>
    <x v="109"/>
    <x v="112"/>
    <x v="137"/>
    <x v="124"/>
    <x v="3"/>
  </r>
  <r>
    <x v="0"/>
    <x v="7"/>
    <x v="7"/>
    <x v="3"/>
    <x v="3"/>
    <x v="3"/>
    <x v="6"/>
    <x v="140"/>
    <x v="130"/>
    <x v="14"/>
    <x v="113"/>
    <x v="138"/>
    <x v="93"/>
    <x v="3"/>
  </r>
  <r>
    <x v="0"/>
    <x v="7"/>
    <x v="7"/>
    <x v="24"/>
    <x v="24"/>
    <x v="24"/>
    <x v="7"/>
    <x v="141"/>
    <x v="96"/>
    <x v="110"/>
    <x v="114"/>
    <x v="139"/>
    <x v="125"/>
    <x v="3"/>
  </r>
  <r>
    <x v="0"/>
    <x v="7"/>
    <x v="7"/>
    <x v="7"/>
    <x v="7"/>
    <x v="7"/>
    <x v="8"/>
    <x v="142"/>
    <x v="131"/>
    <x v="111"/>
    <x v="115"/>
    <x v="140"/>
    <x v="126"/>
    <x v="15"/>
  </r>
  <r>
    <x v="0"/>
    <x v="7"/>
    <x v="7"/>
    <x v="28"/>
    <x v="28"/>
    <x v="28"/>
    <x v="9"/>
    <x v="68"/>
    <x v="132"/>
    <x v="112"/>
    <x v="116"/>
    <x v="141"/>
    <x v="127"/>
    <x v="15"/>
  </r>
  <r>
    <x v="0"/>
    <x v="7"/>
    <x v="7"/>
    <x v="16"/>
    <x v="16"/>
    <x v="16"/>
    <x v="10"/>
    <x v="143"/>
    <x v="133"/>
    <x v="113"/>
    <x v="117"/>
    <x v="142"/>
    <x v="128"/>
    <x v="15"/>
  </r>
  <r>
    <x v="0"/>
    <x v="7"/>
    <x v="7"/>
    <x v="20"/>
    <x v="20"/>
    <x v="20"/>
    <x v="11"/>
    <x v="144"/>
    <x v="50"/>
    <x v="114"/>
    <x v="118"/>
    <x v="143"/>
    <x v="129"/>
    <x v="15"/>
  </r>
  <r>
    <x v="0"/>
    <x v="7"/>
    <x v="7"/>
    <x v="29"/>
    <x v="29"/>
    <x v="29"/>
    <x v="12"/>
    <x v="145"/>
    <x v="70"/>
    <x v="115"/>
    <x v="119"/>
    <x v="144"/>
    <x v="130"/>
    <x v="15"/>
  </r>
  <r>
    <x v="0"/>
    <x v="7"/>
    <x v="7"/>
    <x v="5"/>
    <x v="5"/>
    <x v="5"/>
    <x v="12"/>
    <x v="145"/>
    <x v="70"/>
    <x v="116"/>
    <x v="120"/>
    <x v="119"/>
    <x v="131"/>
    <x v="15"/>
  </r>
  <r>
    <x v="0"/>
    <x v="7"/>
    <x v="7"/>
    <x v="6"/>
    <x v="6"/>
    <x v="6"/>
    <x v="14"/>
    <x v="146"/>
    <x v="15"/>
    <x v="64"/>
    <x v="121"/>
    <x v="145"/>
    <x v="35"/>
    <x v="15"/>
  </r>
  <r>
    <x v="0"/>
    <x v="7"/>
    <x v="7"/>
    <x v="10"/>
    <x v="10"/>
    <x v="10"/>
    <x v="15"/>
    <x v="147"/>
    <x v="134"/>
    <x v="54"/>
    <x v="122"/>
    <x v="146"/>
    <x v="132"/>
    <x v="15"/>
  </r>
  <r>
    <x v="0"/>
    <x v="7"/>
    <x v="7"/>
    <x v="21"/>
    <x v="21"/>
    <x v="21"/>
    <x v="16"/>
    <x v="148"/>
    <x v="54"/>
    <x v="78"/>
    <x v="12"/>
    <x v="147"/>
    <x v="133"/>
    <x v="15"/>
  </r>
  <r>
    <x v="0"/>
    <x v="7"/>
    <x v="7"/>
    <x v="14"/>
    <x v="14"/>
    <x v="14"/>
    <x v="17"/>
    <x v="149"/>
    <x v="135"/>
    <x v="60"/>
    <x v="31"/>
    <x v="148"/>
    <x v="134"/>
    <x v="3"/>
  </r>
  <r>
    <x v="0"/>
    <x v="7"/>
    <x v="7"/>
    <x v="12"/>
    <x v="12"/>
    <x v="12"/>
    <x v="18"/>
    <x v="123"/>
    <x v="136"/>
    <x v="113"/>
    <x v="117"/>
    <x v="149"/>
    <x v="135"/>
    <x v="15"/>
  </r>
  <r>
    <x v="0"/>
    <x v="7"/>
    <x v="7"/>
    <x v="13"/>
    <x v="13"/>
    <x v="13"/>
    <x v="19"/>
    <x v="150"/>
    <x v="137"/>
    <x v="117"/>
    <x v="123"/>
    <x v="122"/>
    <x v="136"/>
    <x v="15"/>
  </r>
  <r>
    <x v="0"/>
    <x v="8"/>
    <x v="8"/>
    <x v="1"/>
    <x v="1"/>
    <x v="1"/>
    <x v="0"/>
    <x v="151"/>
    <x v="138"/>
    <x v="118"/>
    <x v="124"/>
    <x v="76"/>
    <x v="137"/>
    <x v="15"/>
  </r>
  <r>
    <x v="0"/>
    <x v="8"/>
    <x v="8"/>
    <x v="0"/>
    <x v="0"/>
    <x v="0"/>
    <x v="1"/>
    <x v="152"/>
    <x v="139"/>
    <x v="119"/>
    <x v="125"/>
    <x v="150"/>
    <x v="138"/>
    <x v="7"/>
  </r>
  <r>
    <x v="0"/>
    <x v="8"/>
    <x v="8"/>
    <x v="3"/>
    <x v="3"/>
    <x v="3"/>
    <x v="2"/>
    <x v="153"/>
    <x v="140"/>
    <x v="120"/>
    <x v="126"/>
    <x v="151"/>
    <x v="139"/>
    <x v="15"/>
  </r>
  <r>
    <x v="0"/>
    <x v="8"/>
    <x v="8"/>
    <x v="4"/>
    <x v="4"/>
    <x v="4"/>
    <x v="3"/>
    <x v="154"/>
    <x v="141"/>
    <x v="121"/>
    <x v="127"/>
    <x v="55"/>
    <x v="140"/>
    <x v="15"/>
  </r>
  <r>
    <x v="0"/>
    <x v="8"/>
    <x v="8"/>
    <x v="30"/>
    <x v="30"/>
    <x v="30"/>
    <x v="4"/>
    <x v="155"/>
    <x v="142"/>
    <x v="115"/>
    <x v="128"/>
    <x v="109"/>
    <x v="141"/>
    <x v="15"/>
  </r>
  <r>
    <x v="0"/>
    <x v="8"/>
    <x v="8"/>
    <x v="2"/>
    <x v="2"/>
    <x v="2"/>
    <x v="5"/>
    <x v="156"/>
    <x v="143"/>
    <x v="122"/>
    <x v="129"/>
    <x v="126"/>
    <x v="142"/>
    <x v="15"/>
  </r>
  <r>
    <x v="0"/>
    <x v="8"/>
    <x v="8"/>
    <x v="6"/>
    <x v="6"/>
    <x v="6"/>
    <x v="6"/>
    <x v="157"/>
    <x v="144"/>
    <x v="123"/>
    <x v="130"/>
    <x v="108"/>
    <x v="143"/>
    <x v="15"/>
  </r>
  <r>
    <x v="0"/>
    <x v="8"/>
    <x v="8"/>
    <x v="7"/>
    <x v="7"/>
    <x v="7"/>
    <x v="7"/>
    <x v="76"/>
    <x v="145"/>
    <x v="124"/>
    <x v="131"/>
    <x v="102"/>
    <x v="103"/>
    <x v="15"/>
  </r>
  <r>
    <x v="0"/>
    <x v="8"/>
    <x v="8"/>
    <x v="15"/>
    <x v="15"/>
    <x v="15"/>
    <x v="8"/>
    <x v="158"/>
    <x v="65"/>
    <x v="113"/>
    <x v="103"/>
    <x v="143"/>
    <x v="144"/>
    <x v="15"/>
  </r>
  <r>
    <x v="0"/>
    <x v="8"/>
    <x v="8"/>
    <x v="5"/>
    <x v="5"/>
    <x v="5"/>
    <x v="8"/>
    <x v="158"/>
    <x v="65"/>
    <x v="125"/>
    <x v="132"/>
    <x v="152"/>
    <x v="145"/>
    <x v="3"/>
  </r>
  <r>
    <x v="0"/>
    <x v="8"/>
    <x v="8"/>
    <x v="20"/>
    <x v="20"/>
    <x v="20"/>
    <x v="10"/>
    <x v="159"/>
    <x v="146"/>
    <x v="75"/>
    <x v="133"/>
    <x v="153"/>
    <x v="146"/>
    <x v="15"/>
  </r>
  <r>
    <x v="0"/>
    <x v="8"/>
    <x v="8"/>
    <x v="31"/>
    <x v="31"/>
    <x v="31"/>
    <x v="11"/>
    <x v="55"/>
    <x v="67"/>
    <x v="126"/>
    <x v="134"/>
    <x v="154"/>
    <x v="87"/>
    <x v="15"/>
  </r>
  <r>
    <x v="0"/>
    <x v="8"/>
    <x v="8"/>
    <x v="21"/>
    <x v="21"/>
    <x v="21"/>
    <x v="12"/>
    <x v="160"/>
    <x v="98"/>
    <x v="60"/>
    <x v="89"/>
    <x v="155"/>
    <x v="147"/>
    <x v="15"/>
  </r>
  <r>
    <x v="0"/>
    <x v="8"/>
    <x v="8"/>
    <x v="10"/>
    <x v="10"/>
    <x v="10"/>
    <x v="13"/>
    <x v="161"/>
    <x v="147"/>
    <x v="127"/>
    <x v="114"/>
    <x v="156"/>
    <x v="148"/>
    <x v="15"/>
  </r>
  <r>
    <x v="0"/>
    <x v="8"/>
    <x v="8"/>
    <x v="8"/>
    <x v="8"/>
    <x v="8"/>
    <x v="14"/>
    <x v="125"/>
    <x v="84"/>
    <x v="89"/>
    <x v="135"/>
    <x v="157"/>
    <x v="149"/>
    <x v="15"/>
  </r>
  <r>
    <x v="0"/>
    <x v="8"/>
    <x v="8"/>
    <x v="11"/>
    <x v="11"/>
    <x v="11"/>
    <x v="15"/>
    <x v="57"/>
    <x v="101"/>
    <x v="128"/>
    <x v="136"/>
    <x v="158"/>
    <x v="150"/>
    <x v="15"/>
  </r>
  <r>
    <x v="0"/>
    <x v="8"/>
    <x v="8"/>
    <x v="9"/>
    <x v="9"/>
    <x v="9"/>
    <x v="16"/>
    <x v="162"/>
    <x v="148"/>
    <x v="129"/>
    <x v="137"/>
    <x v="159"/>
    <x v="151"/>
    <x v="3"/>
  </r>
  <r>
    <x v="0"/>
    <x v="8"/>
    <x v="8"/>
    <x v="16"/>
    <x v="16"/>
    <x v="16"/>
    <x v="17"/>
    <x v="163"/>
    <x v="72"/>
    <x v="103"/>
    <x v="138"/>
    <x v="160"/>
    <x v="152"/>
    <x v="15"/>
  </r>
  <r>
    <x v="0"/>
    <x v="8"/>
    <x v="8"/>
    <x v="28"/>
    <x v="28"/>
    <x v="28"/>
    <x v="18"/>
    <x v="164"/>
    <x v="54"/>
    <x v="75"/>
    <x v="133"/>
    <x v="161"/>
    <x v="153"/>
    <x v="15"/>
  </r>
  <r>
    <x v="0"/>
    <x v="8"/>
    <x v="8"/>
    <x v="29"/>
    <x v="29"/>
    <x v="29"/>
    <x v="19"/>
    <x v="165"/>
    <x v="74"/>
    <x v="107"/>
    <x v="139"/>
    <x v="162"/>
    <x v="154"/>
    <x v="15"/>
  </r>
  <r>
    <x v="0"/>
    <x v="9"/>
    <x v="9"/>
    <x v="1"/>
    <x v="1"/>
    <x v="1"/>
    <x v="0"/>
    <x v="166"/>
    <x v="149"/>
    <x v="130"/>
    <x v="140"/>
    <x v="137"/>
    <x v="155"/>
    <x v="15"/>
  </r>
  <r>
    <x v="0"/>
    <x v="9"/>
    <x v="9"/>
    <x v="0"/>
    <x v="0"/>
    <x v="0"/>
    <x v="1"/>
    <x v="167"/>
    <x v="150"/>
    <x v="115"/>
    <x v="141"/>
    <x v="163"/>
    <x v="156"/>
    <x v="15"/>
  </r>
  <r>
    <x v="0"/>
    <x v="9"/>
    <x v="9"/>
    <x v="3"/>
    <x v="3"/>
    <x v="3"/>
    <x v="2"/>
    <x v="168"/>
    <x v="151"/>
    <x v="131"/>
    <x v="142"/>
    <x v="164"/>
    <x v="157"/>
    <x v="15"/>
  </r>
  <r>
    <x v="0"/>
    <x v="9"/>
    <x v="9"/>
    <x v="4"/>
    <x v="4"/>
    <x v="4"/>
    <x v="3"/>
    <x v="169"/>
    <x v="152"/>
    <x v="132"/>
    <x v="143"/>
    <x v="137"/>
    <x v="155"/>
    <x v="15"/>
  </r>
  <r>
    <x v="0"/>
    <x v="9"/>
    <x v="9"/>
    <x v="20"/>
    <x v="20"/>
    <x v="20"/>
    <x v="4"/>
    <x v="154"/>
    <x v="153"/>
    <x v="17"/>
    <x v="144"/>
    <x v="165"/>
    <x v="1"/>
    <x v="15"/>
  </r>
  <r>
    <x v="0"/>
    <x v="9"/>
    <x v="9"/>
    <x v="2"/>
    <x v="2"/>
    <x v="2"/>
    <x v="5"/>
    <x v="143"/>
    <x v="154"/>
    <x v="133"/>
    <x v="145"/>
    <x v="95"/>
    <x v="158"/>
    <x v="15"/>
  </r>
  <r>
    <x v="0"/>
    <x v="9"/>
    <x v="9"/>
    <x v="7"/>
    <x v="7"/>
    <x v="7"/>
    <x v="6"/>
    <x v="170"/>
    <x v="155"/>
    <x v="134"/>
    <x v="146"/>
    <x v="166"/>
    <x v="159"/>
    <x v="15"/>
  </r>
  <r>
    <x v="0"/>
    <x v="9"/>
    <x v="9"/>
    <x v="6"/>
    <x v="6"/>
    <x v="6"/>
    <x v="7"/>
    <x v="171"/>
    <x v="156"/>
    <x v="107"/>
    <x v="147"/>
    <x v="167"/>
    <x v="160"/>
    <x v="15"/>
  </r>
  <r>
    <x v="0"/>
    <x v="9"/>
    <x v="9"/>
    <x v="5"/>
    <x v="5"/>
    <x v="5"/>
    <x v="8"/>
    <x v="172"/>
    <x v="145"/>
    <x v="135"/>
    <x v="25"/>
    <x v="129"/>
    <x v="161"/>
    <x v="3"/>
  </r>
  <r>
    <x v="0"/>
    <x v="9"/>
    <x v="9"/>
    <x v="8"/>
    <x v="8"/>
    <x v="8"/>
    <x v="9"/>
    <x v="173"/>
    <x v="157"/>
    <x v="136"/>
    <x v="148"/>
    <x v="168"/>
    <x v="162"/>
    <x v="15"/>
  </r>
  <r>
    <x v="0"/>
    <x v="9"/>
    <x v="9"/>
    <x v="10"/>
    <x v="10"/>
    <x v="10"/>
    <x v="10"/>
    <x v="174"/>
    <x v="117"/>
    <x v="113"/>
    <x v="149"/>
    <x v="95"/>
    <x v="158"/>
    <x v="15"/>
  </r>
  <r>
    <x v="0"/>
    <x v="9"/>
    <x v="9"/>
    <x v="23"/>
    <x v="23"/>
    <x v="23"/>
    <x v="11"/>
    <x v="175"/>
    <x v="158"/>
    <x v="102"/>
    <x v="150"/>
    <x v="169"/>
    <x v="163"/>
    <x v="15"/>
  </r>
  <r>
    <x v="0"/>
    <x v="9"/>
    <x v="9"/>
    <x v="21"/>
    <x v="21"/>
    <x v="21"/>
    <x v="12"/>
    <x v="176"/>
    <x v="118"/>
    <x v="50"/>
    <x v="151"/>
    <x v="170"/>
    <x v="124"/>
    <x v="3"/>
  </r>
  <r>
    <x v="0"/>
    <x v="9"/>
    <x v="9"/>
    <x v="14"/>
    <x v="14"/>
    <x v="14"/>
    <x v="13"/>
    <x v="177"/>
    <x v="159"/>
    <x v="74"/>
    <x v="90"/>
    <x v="169"/>
    <x v="163"/>
    <x v="5"/>
  </r>
  <r>
    <x v="0"/>
    <x v="9"/>
    <x v="9"/>
    <x v="11"/>
    <x v="11"/>
    <x v="11"/>
    <x v="14"/>
    <x v="178"/>
    <x v="160"/>
    <x v="90"/>
    <x v="152"/>
    <x v="171"/>
    <x v="164"/>
    <x v="15"/>
  </r>
  <r>
    <x v="0"/>
    <x v="9"/>
    <x v="9"/>
    <x v="15"/>
    <x v="15"/>
    <x v="15"/>
    <x v="15"/>
    <x v="179"/>
    <x v="161"/>
    <x v="137"/>
    <x v="31"/>
    <x v="157"/>
    <x v="116"/>
    <x v="15"/>
  </r>
  <r>
    <x v="0"/>
    <x v="9"/>
    <x v="9"/>
    <x v="13"/>
    <x v="13"/>
    <x v="13"/>
    <x v="16"/>
    <x v="180"/>
    <x v="54"/>
    <x v="49"/>
    <x v="153"/>
    <x v="172"/>
    <x v="18"/>
    <x v="15"/>
  </r>
  <r>
    <x v="0"/>
    <x v="9"/>
    <x v="9"/>
    <x v="16"/>
    <x v="16"/>
    <x v="16"/>
    <x v="17"/>
    <x v="181"/>
    <x v="162"/>
    <x v="44"/>
    <x v="106"/>
    <x v="160"/>
    <x v="165"/>
    <x v="15"/>
  </r>
  <r>
    <x v="0"/>
    <x v="9"/>
    <x v="9"/>
    <x v="9"/>
    <x v="9"/>
    <x v="9"/>
    <x v="18"/>
    <x v="127"/>
    <x v="74"/>
    <x v="138"/>
    <x v="154"/>
    <x v="173"/>
    <x v="166"/>
    <x v="15"/>
  </r>
  <r>
    <x v="0"/>
    <x v="9"/>
    <x v="9"/>
    <x v="17"/>
    <x v="17"/>
    <x v="17"/>
    <x v="19"/>
    <x v="182"/>
    <x v="16"/>
    <x v="65"/>
    <x v="60"/>
    <x v="174"/>
    <x v="7"/>
    <x v="15"/>
  </r>
  <r>
    <x v="0"/>
    <x v="10"/>
    <x v="10"/>
    <x v="0"/>
    <x v="0"/>
    <x v="0"/>
    <x v="0"/>
    <x v="183"/>
    <x v="163"/>
    <x v="139"/>
    <x v="155"/>
    <x v="175"/>
    <x v="167"/>
    <x v="5"/>
  </r>
  <r>
    <x v="0"/>
    <x v="10"/>
    <x v="10"/>
    <x v="1"/>
    <x v="1"/>
    <x v="1"/>
    <x v="1"/>
    <x v="184"/>
    <x v="164"/>
    <x v="140"/>
    <x v="156"/>
    <x v="176"/>
    <x v="122"/>
    <x v="15"/>
  </r>
  <r>
    <x v="0"/>
    <x v="10"/>
    <x v="10"/>
    <x v="3"/>
    <x v="3"/>
    <x v="3"/>
    <x v="2"/>
    <x v="168"/>
    <x v="165"/>
    <x v="141"/>
    <x v="157"/>
    <x v="177"/>
    <x v="168"/>
    <x v="15"/>
  </r>
  <r>
    <x v="0"/>
    <x v="10"/>
    <x v="10"/>
    <x v="2"/>
    <x v="2"/>
    <x v="2"/>
    <x v="3"/>
    <x v="185"/>
    <x v="166"/>
    <x v="142"/>
    <x v="158"/>
    <x v="178"/>
    <x v="169"/>
    <x v="15"/>
  </r>
  <r>
    <x v="0"/>
    <x v="10"/>
    <x v="10"/>
    <x v="4"/>
    <x v="4"/>
    <x v="4"/>
    <x v="4"/>
    <x v="186"/>
    <x v="167"/>
    <x v="124"/>
    <x v="159"/>
    <x v="179"/>
    <x v="83"/>
    <x v="15"/>
  </r>
  <r>
    <x v="0"/>
    <x v="10"/>
    <x v="10"/>
    <x v="5"/>
    <x v="5"/>
    <x v="5"/>
    <x v="5"/>
    <x v="187"/>
    <x v="168"/>
    <x v="108"/>
    <x v="160"/>
    <x v="180"/>
    <x v="170"/>
    <x v="3"/>
  </r>
  <r>
    <x v="0"/>
    <x v="10"/>
    <x v="10"/>
    <x v="7"/>
    <x v="7"/>
    <x v="7"/>
    <x v="6"/>
    <x v="188"/>
    <x v="169"/>
    <x v="143"/>
    <x v="161"/>
    <x v="181"/>
    <x v="171"/>
    <x v="15"/>
  </r>
  <r>
    <x v="0"/>
    <x v="10"/>
    <x v="10"/>
    <x v="6"/>
    <x v="6"/>
    <x v="6"/>
    <x v="7"/>
    <x v="53"/>
    <x v="170"/>
    <x v="144"/>
    <x v="162"/>
    <x v="146"/>
    <x v="12"/>
    <x v="15"/>
  </r>
  <r>
    <x v="0"/>
    <x v="10"/>
    <x v="10"/>
    <x v="12"/>
    <x v="12"/>
    <x v="12"/>
    <x v="8"/>
    <x v="77"/>
    <x v="171"/>
    <x v="78"/>
    <x v="163"/>
    <x v="109"/>
    <x v="26"/>
    <x v="15"/>
  </r>
  <r>
    <x v="0"/>
    <x v="10"/>
    <x v="10"/>
    <x v="10"/>
    <x v="10"/>
    <x v="10"/>
    <x v="9"/>
    <x v="189"/>
    <x v="99"/>
    <x v="46"/>
    <x v="31"/>
    <x v="52"/>
    <x v="101"/>
    <x v="15"/>
  </r>
  <r>
    <x v="0"/>
    <x v="10"/>
    <x v="10"/>
    <x v="8"/>
    <x v="8"/>
    <x v="8"/>
    <x v="10"/>
    <x v="147"/>
    <x v="172"/>
    <x v="63"/>
    <x v="103"/>
    <x v="182"/>
    <x v="172"/>
    <x v="15"/>
  </r>
  <r>
    <x v="0"/>
    <x v="10"/>
    <x v="10"/>
    <x v="9"/>
    <x v="9"/>
    <x v="9"/>
    <x v="11"/>
    <x v="148"/>
    <x v="173"/>
    <x v="91"/>
    <x v="164"/>
    <x v="183"/>
    <x v="130"/>
    <x v="3"/>
  </r>
  <r>
    <x v="0"/>
    <x v="10"/>
    <x v="10"/>
    <x v="14"/>
    <x v="14"/>
    <x v="14"/>
    <x v="12"/>
    <x v="190"/>
    <x v="174"/>
    <x v="47"/>
    <x v="165"/>
    <x v="184"/>
    <x v="173"/>
    <x v="7"/>
  </r>
  <r>
    <x v="0"/>
    <x v="10"/>
    <x v="10"/>
    <x v="13"/>
    <x v="13"/>
    <x v="13"/>
    <x v="13"/>
    <x v="161"/>
    <x v="175"/>
    <x v="145"/>
    <x v="118"/>
    <x v="185"/>
    <x v="174"/>
    <x v="3"/>
  </r>
  <r>
    <x v="0"/>
    <x v="10"/>
    <x v="10"/>
    <x v="16"/>
    <x v="16"/>
    <x v="16"/>
    <x v="14"/>
    <x v="122"/>
    <x v="176"/>
    <x v="45"/>
    <x v="166"/>
    <x v="116"/>
    <x v="67"/>
    <x v="15"/>
  </r>
  <r>
    <x v="0"/>
    <x v="10"/>
    <x v="10"/>
    <x v="17"/>
    <x v="17"/>
    <x v="17"/>
    <x v="15"/>
    <x v="191"/>
    <x v="177"/>
    <x v="55"/>
    <x v="51"/>
    <x v="56"/>
    <x v="22"/>
    <x v="15"/>
  </r>
  <r>
    <x v="0"/>
    <x v="10"/>
    <x v="10"/>
    <x v="11"/>
    <x v="11"/>
    <x v="11"/>
    <x v="16"/>
    <x v="192"/>
    <x v="87"/>
    <x v="146"/>
    <x v="167"/>
    <x v="186"/>
    <x v="154"/>
    <x v="15"/>
  </r>
  <r>
    <x v="0"/>
    <x v="10"/>
    <x v="10"/>
    <x v="15"/>
    <x v="15"/>
    <x v="15"/>
    <x v="17"/>
    <x v="193"/>
    <x v="135"/>
    <x v="147"/>
    <x v="14"/>
    <x v="187"/>
    <x v="159"/>
    <x v="15"/>
  </r>
  <r>
    <x v="0"/>
    <x v="10"/>
    <x v="10"/>
    <x v="21"/>
    <x v="21"/>
    <x v="21"/>
    <x v="18"/>
    <x v="194"/>
    <x v="178"/>
    <x v="54"/>
    <x v="168"/>
    <x v="128"/>
    <x v="111"/>
    <x v="15"/>
  </r>
  <r>
    <x v="0"/>
    <x v="10"/>
    <x v="10"/>
    <x v="30"/>
    <x v="30"/>
    <x v="30"/>
    <x v="19"/>
    <x v="129"/>
    <x v="179"/>
    <x v="148"/>
    <x v="169"/>
    <x v="188"/>
    <x v="175"/>
    <x v="15"/>
  </r>
  <r>
    <x v="0"/>
    <x v="11"/>
    <x v="11"/>
    <x v="0"/>
    <x v="0"/>
    <x v="0"/>
    <x v="0"/>
    <x v="195"/>
    <x v="180"/>
    <x v="149"/>
    <x v="170"/>
    <x v="189"/>
    <x v="176"/>
    <x v="15"/>
  </r>
  <r>
    <x v="0"/>
    <x v="11"/>
    <x v="11"/>
    <x v="1"/>
    <x v="1"/>
    <x v="1"/>
    <x v="1"/>
    <x v="196"/>
    <x v="181"/>
    <x v="150"/>
    <x v="171"/>
    <x v="190"/>
    <x v="177"/>
    <x v="3"/>
  </r>
  <r>
    <x v="0"/>
    <x v="11"/>
    <x v="11"/>
    <x v="3"/>
    <x v="3"/>
    <x v="3"/>
    <x v="2"/>
    <x v="197"/>
    <x v="182"/>
    <x v="151"/>
    <x v="172"/>
    <x v="184"/>
    <x v="6"/>
    <x v="15"/>
  </r>
  <r>
    <x v="0"/>
    <x v="11"/>
    <x v="11"/>
    <x v="2"/>
    <x v="2"/>
    <x v="2"/>
    <x v="3"/>
    <x v="198"/>
    <x v="183"/>
    <x v="152"/>
    <x v="173"/>
    <x v="191"/>
    <x v="178"/>
    <x v="15"/>
  </r>
  <r>
    <x v="0"/>
    <x v="11"/>
    <x v="11"/>
    <x v="4"/>
    <x v="4"/>
    <x v="4"/>
    <x v="4"/>
    <x v="199"/>
    <x v="184"/>
    <x v="153"/>
    <x v="174"/>
    <x v="192"/>
    <x v="179"/>
    <x v="15"/>
  </r>
  <r>
    <x v="0"/>
    <x v="11"/>
    <x v="11"/>
    <x v="11"/>
    <x v="11"/>
    <x v="11"/>
    <x v="5"/>
    <x v="188"/>
    <x v="94"/>
    <x v="154"/>
    <x v="175"/>
    <x v="193"/>
    <x v="180"/>
    <x v="15"/>
  </r>
  <r>
    <x v="0"/>
    <x v="11"/>
    <x v="11"/>
    <x v="5"/>
    <x v="5"/>
    <x v="5"/>
    <x v="6"/>
    <x v="200"/>
    <x v="185"/>
    <x v="155"/>
    <x v="176"/>
    <x v="180"/>
    <x v="181"/>
    <x v="15"/>
  </r>
  <r>
    <x v="0"/>
    <x v="11"/>
    <x v="11"/>
    <x v="7"/>
    <x v="7"/>
    <x v="7"/>
    <x v="7"/>
    <x v="201"/>
    <x v="26"/>
    <x v="156"/>
    <x v="99"/>
    <x v="151"/>
    <x v="182"/>
    <x v="15"/>
  </r>
  <r>
    <x v="0"/>
    <x v="11"/>
    <x v="11"/>
    <x v="9"/>
    <x v="9"/>
    <x v="9"/>
    <x v="8"/>
    <x v="202"/>
    <x v="115"/>
    <x v="157"/>
    <x v="177"/>
    <x v="194"/>
    <x v="183"/>
    <x v="7"/>
  </r>
  <r>
    <x v="0"/>
    <x v="11"/>
    <x v="11"/>
    <x v="13"/>
    <x v="13"/>
    <x v="13"/>
    <x v="9"/>
    <x v="191"/>
    <x v="117"/>
    <x v="53"/>
    <x v="178"/>
    <x v="195"/>
    <x v="184"/>
    <x v="15"/>
  </r>
  <r>
    <x v="0"/>
    <x v="11"/>
    <x v="11"/>
    <x v="12"/>
    <x v="12"/>
    <x v="12"/>
    <x v="10"/>
    <x v="203"/>
    <x v="118"/>
    <x v="103"/>
    <x v="179"/>
    <x v="144"/>
    <x v="185"/>
    <x v="15"/>
  </r>
  <r>
    <x v="0"/>
    <x v="11"/>
    <x v="11"/>
    <x v="14"/>
    <x v="14"/>
    <x v="14"/>
    <x v="11"/>
    <x v="204"/>
    <x v="174"/>
    <x v="55"/>
    <x v="180"/>
    <x v="174"/>
    <x v="186"/>
    <x v="15"/>
  </r>
  <r>
    <x v="0"/>
    <x v="11"/>
    <x v="11"/>
    <x v="19"/>
    <x v="19"/>
    <x v="19"/>
    <x v="12"/>
    <x v="165"/>
    <x v="176"/>
    <x v="66"/>
    <x v="181"/>
    <x v="174"/>
    <x v="186"/>
    <x v="15"/>
  </r>
  <r>
    <x v="0"/>
    <x v="11"/>
    <x v="11"/>
    <x v="6"/>
    <x v="6"/>
    <x v="6"/>
    <x v="13"/>
    <x v="205"/>
    <x v="186"/>
    <x v="92"/>
    <x v="182"/>
    <x v="151"/>
    <x v="182"/>
    <x v="15"/>
  </r>
  <r>
    <x v="0"/>
    <x v="11"/>
    <x v="11"/>
    <x v="8"/>
    <x v="8"/>
    <x v="8"/>
    <x v="14"/>
    <x v="206"/>
    <x v="73"/>
    <x v="103"/>
    <x v="179"/>
    <x v="196"/>
    <x v="15"/>
    <x v="15"/>
  </r>
  <r>
    <x v="0"/>
    <x v="11"/>
    <x v="11"/>
    <x v="10"/>
    <x v="10"/>
    <x v="10"/>
    <x v="15"/>
    <x v="207"/>
    <x v="103"/>
    <x v="103"/>
    <x v="179"/>
    <x v="197"/>
    <x v="187"/>
    <x v="15"/>
  </r>
  <r>
    <x v="0"/>
    <x v="11"/>
    <x v="11"/>
    <x v="15"/>
    <x v="15"/>
    <x v="15"/>
    <x v="16"/>
    <x v="208"/>
    <x v="187"/>
    <x v="47"/>
    <x v="183"/>
    <x v="198"/>
    <x v="139"/>
    <x v="15"/>
  </r>
  <r>
    <x v="0"/>
    <x v="11"/>
    <x v="11"/>
    <x v="25"/>
    <x v="25"/>
    <x v="25"/>
    <x v="17"/>
    <x v="209"/>
    <x v="178"/>
    <x v="44"/>
    <x v="184"/>
    <x v="121"/>
    <x v="188"/>
    <x v="3"/>
  </r>
  <r>
    <x v="0"/>
    <x v="11"/>
    <x v="11"/>
    <x v="17"/>
    <x v="17"/>
    <x v="17"/>
    <x v="18"/>
    <x v="210"/>
    <x v="18"/>
    <x v="48"/>
    <x v="61"/>
    <x v="198"/>
    <x v="139"/>
    <x v="15"/>
  </r>
  <r>
    <x v="0"/>
    <x v="11"/>
    <x v="11"/>
    <x v="27"/>
    <x v="27"/>
    <x v="27"/>
    <x v="19"/>
    <x v="211"/>
    <x v="122"/>
    <x v="158"/>
    <x v="75"/>
    <x v="199"/>
    <x v="189"/>
    <x v="15"/>
  </r>
  <r>
    <x v="0"/>
    <x v="12"/>
    <x v="12"/>
    <x v="0"/>
    <x v="0"/>
    <x v="0"/>
    <x v="0"/>
    <x v="212"/>
    <x v="188"/>
    <x v="159"/>
    <x v="185"/>
    <x v="200"/>
    <x v="167"/>
    <x v="7"/>
  </r>
  <r>
    <x v="0"/>
    <x v="12"/>
    <x v="12"/>
    <x v="1"/>
    <x v="1"/>
    <x v="1"/>
    <x v="1"/>
    <x v="213"/>
    <x v="189"/>
    <x v="160"/>
    <x v="186"/>
    <x v="65"/>
    <x v="190"/>
    <x v="15"/>
  </r>
  <r>
    <x v="0"/>
    <x v="12"/>
    <x v="12"/>
    <x v="3"/>
    <x v="3"/>
    <x v="3"/>
    <x v="2"/>
    <x v="214"/>
    <x v="190"/>
    <x v="161"/>
    <x v="187"/>
    <x v="201"/>
    <x v="71"/>
    <x v="15"/>
  </r>
  <r>
    <x v="0"/>
    <x v="12"/>
    <x v="12"/>
    <x v="4"/>
    <x v="4"/>
    <x v="4"/>
    <x v="3"/>
    <x v="215"/>
    <x v="191"/>
    <x v="162"/>
    <x v="188"/>
    <x v="202"/>
    <x v="46"/>
    <x v="15"/>
  </r>
  <r>
    <x v="0"/>
    <x v="12"/>
    <x v="12"/>
    <x v="30"/>
    <x v="30"/>
    <x v="30"/>
    <x v="4"/>
    <x v="216"/>
    <x v="192"/>
    <x v="163"/>
    <x v="189"/>
    <x v="203"/>
    <x v="191"/>
    <x v="15"/>
  </r>
  <r>
    <x v="0"/>
    <x v="12"/>
    <x v="12"/>
    <x v="7"/>
    <x v="7"/>
    <x v="7"/>
    <x v="5"/>
    <x v="168"/>
    <x v="193"/>
    <x v="164"/>
    <x v="190"/>
    <x v="204"/>
    <x v="192"/>
    <x v="15"/>
  </r>
  <r>
    <x v="0"/>
    <x v="12"/>
    <x v="12"/>
    <x v="5"/>
    <x v="5"/>
    <x v="5"/>
    <x v="6"/>
    <x v="217"/>
    <x v="194"/>
    <x v="165"/>
    <x v="191"/>
    <x v="205"/>
    <x v="193"/>
    <x v="15"/>
  </r>
  <r>
    <x v="0"/>
    <x v="12"/>
    <x v="12"/>
    <x v="6"/>
    <x v="6"/>
    <x v="6"/>
    <x v="7"/>
    <x v="218"/>
    <x v="195"/>
    <x v="112"/>
    <x v="192"/>
    <x v="88"/>
    <x v="194"/>
    <x v="15"/>
  </r>
  <r>
    <x v="0"/>
    <x v="12"/>
    <x v="12"/>
    <x v="2"/>
    <x v="2"/>
    <x v="2"/>
    <x v="8"/>
    <x v="219"/>
    <x v="196"/>
    <x v="166"/>
    <x v="193"/>
    <x v="206"/>
    <x v="195"/>
    <x v="15"/>
  </r>
  <r>
    <x v="0"/>
    <x v="12"/>
    <x v="12"/>
    <x v="10"/>
    <x v="10"/>
    <x v="10"/>
    <x v="9"/>
    <x v="220"/>
    <x v="80"/>
    <x v="145"/>
    <x v="194"/>
    <x v="207"/>
    <x v="196"/>
    <x v="15"/>
  </r>
  <r>
    <x v="0"/>
    <x v="12"/>
    <x v="12"/>
    <x v="32"/>
    <x v="32"/>
    <x v="32"/>
    <x v="10"/>
    <x v="221"/>
    <x v="145"/>
    <x v="167"/>
    <x v="195"/>
    <x v="208"/>
    <x v="197"/>
    <x v="15"/>
  </r>
  <r>
    <x v="0"/>
    <x v="12"/>
    <x v="12"/>
    <x v="8"/>
    <x v="8"/>
    <x v="8"/>
    <x v="11"/>
    <x v="222"/>
    <x v="8"/>
    <x v="168"/>
    <x v="196"/>
    <x v="64"/>
    <x v="198"/>
    <x v="15"/>
  </r>
  <r>
    <x v="0"/>
    <x v="12"/>
    <x v="12"/>
    <x v="9"/>
    <x v="9"/>
    <x v="9"/>
    <x v="12"/>
    <x v="223"/>
    <x v="197"/>
    <x v="169"/>
    <x v="197"/>
    <x v="209"/>
    <x v="199"/>
    <x v="3"/>
  </r>
  <r>
    <x v="0"/>
    <x v="12"/>
    <x v="12"/>
    <x v="12"/>
    <x v="12"/>
    <x v="12"/>
    <x v="13"/>
    <x v="224"/>
    <x v="121"/>
    <x v="63"/>
    <x v="56"/>
    <x v="204"/>
    <x v="192"/>
    <x v="15"/>
  </r>
  <r>
    <x v="0"/>
    <x v="12"/>
    <x v="12"/>
    <x v="16"/>
    <x v="16"/>
    <x v="16"/>
    <x v="14"/>
    <x v="172"/>
    <x v="134"/>
    <x v="74"/>
    <x v="106"/>
    <x v="137"/>
    <x v="86"/>
    <x v="15"/>
  </r>
  <r>
    <x v="0"/>
    <x v="12"/>
    <x v="12"/>
    <x v="11"/>
    <x v="11"/>
    <x v="11"/>
    <x v="15"/>
    <x v="225"/>
    <x v="198"/>
    <x v="170"/>
    <x v="198"/>
    <x v="210"/>
    <x v="92"/>
    <x v="15"/>
  </r>
  <r>
    <x v="0"/>
    <x v="12"/>
    <x v="12"/>
    <x v="13"/>
    <x v="13"/>
    <x v="13"/>
    <x v="16"/>
    <x v="226"/>
    <x v="199"/>
    <x v="171"/>
    <x v="199"/>
    <x v="211"/>
    <x v="175"/>
    <x v="15"/>
  </r>
  <r>
    <x v="0"/>
    <x v="12"/>
    <x v="12"/>
    <x v="18"/>
    <x v="18"/>
    <x v="18"/>
    <x v="17"/>
    <x v="227"/>
    <x v="104"/>
    <x v="172"/>
    <x v="200"/>
    <x v="212"/>
    <x v="200"/>
    <x v="15"/>
  </r>
  <r>
    <x v="0"/>
    <x v="12"/>
    <x v="12"/>
    <x v="33"/>
    <x v="33"/>
    <x v="33"/>
    <x v="18"/>
    <x v="228"/>
    <x v="200"/>
    <x v="173"/>
    <x v="86"/>
    <x v="213"/>
    <x v="201"/>
    <x v="15"/>
  </r>
  <r>
    <x v="0"/>
    <x v="12"/>
    <x v="12"/>
    <x v="15"/>
    <x v="15"/>
    <x v="15"/>
    <x v="19"/>
    <x v="113"/>
    <x v="201"/>
    <x v="113"/>
    <x v="85"/>
    <x v="76"/>
    <x v="54"/>
    <x v="15"/>
  </r>
  <r>
    <x v="0"/>
    <x v="13"/>
    <x v="13"/>
    <x v="0"/>
    <x v="0"/>
    <x v="0"/>
    <x v="0"/>
    <x v="229"/>
    <x v="202"/>
    <x v="174"/>
    <x v="201"/>
    <x v="214"/>
    <x v="202"/>
    <x v="4"/>
  </r>
  <r>
    <x v="0"/>
    <x v="13"/>
    <x v="13"/>
    <x v="1"/>
    <x v="1"/>
    <x v="1"/>
    <x v="1"/>
    <x v="230"/>
    <x v="203"/>
    <x v="175"/>
    <x v="202"/>
    <x v="215"/>
    <x v="203"/>
    <x v="15"/>
  </r>
  <r>
    <x v="0"/>
    <x v="13"/>
    <x v="13"/>
    <x v="3"/>
    <x v="3"/>
    <x v="3"/>
    <x v="2"/>
    <x v="231"/>
    <x v="204"/>
    <x v="176"/>
    <x v="203"/>
    <x v="216"/>
    <x v="162"/>
    <x v="15"/>
  </r>
  <r>
    <x v="0"/>
    <x v="13"/>
    <x v="13"/>
    <x v="2"/>
    <x v="2"/>
    <x v="2"/>
    <x v="3"/>
    <x v="232"/>
    <x v="205"/>
    <x v="95"/>
    <x v="204"/>
    <x v="217"/>
    <x v="204"/>
    <x v="3"/>
  </r>
  <r>
    <x v="0"/>
    <x v="13"/>
    <x v="13"/>
    <x v="4"/>
    <x v="4"/>
    <x v="4"/>
    <x v="4"/>
    <x v="233"/>
    <x v="206"/>
    <x v="177"/>
    <x v="205"/>
    <x v="218"/>
    <x v="122"/>
    <x v="15"/>
  </r>
  <r>
    <x v="0"/>
    <x v="13"/>
    <x v="13"/>
    <x v="5"/>
    <x v="5"/>
    <x v="5"/>
    <x v="5"/>
    <x v="234"/>
    <x v="207"/>
    <x v="178"/>
    <x v="206"/>
    <x v="166"/>
    <x v="205"/>
    <x v="15"/>
  </r>
  <r>
    <x v="0"/>
    <x v="13"/>
    <x v="13"/>
    <x v="9"/>
    <x v="9"/>
    <x v="9"/>
    <x v="6"/>
    <x v="235"/>
    <x v="208"/>
    <x v="179"/>
    <x v="207"/>
    <x v="137"/>
    <x v="206"/>
    <x v="5"/>
  </r>
  <r>
    <x v="0"/>
    <x v="13"/>
    <x v="13"/>
    <x v="7"/>
    <x v="7"/>
    <x v="7"/>
    <x v="7"/>
    <x v="236"/>
    <x v="209"/>
    <x v="180"/>
    <x v="208"/>
    <x v="168"/>
    <x v="174"/>
    <x v="15"/>
  </r>
  <r>
    <x v="0"/>
    <x v="13"/>
    <x v="13"/>
    <x v="8"/>
    <x v="8"/>
    <x v="8"/>
    <x v="8"/>
    <x v="237"/>
    <x v="210"/>
    <x v="100"/>
    <x v="209"/>
    <x v="219"/>
    <x v="207"/>
    <x v="15"/>
  </r>
  <r>
    <x v="0"/>
    <x v="13"/>
    <x v="13"/>
    <x v="11"/>
    <x v="11"/>
    <x v="11"/>
    <x v="9"/>
    <x v="238"/>
    <x v="26"/>
    <x v="181"/>
    <x v="210"/>
    <x v="85"/>
    <x v="208"/>
    <x v="15"/>
  </r>
  <r>
    <x v="0"/>
    <x v="13"/>
    <x v="13"/>
    <x v="6"/>
    <x v="6"/>
    <x v="6"/>
    <x v="10"/>
    <x v="239"/>
    <x v="27"/>
    <x v="182"/>
    <x v="211"/>
    <x v="104"/>
    <x v="209"/>
    <x v="15"/>
  </r>
  <r>
    <x v="0"/>
    <x v="13"/>
    <x v="13"/>
    <x v="13"/>
    <x v="13"/>
    <x v="13"/>
    <x v="11"/>
    <x v="240"/>
    <x v="211"/>
    <x v="183"/>
    <x v="212"/>
    <x v="220"/>
    <x v="210"/>
    <x v="15"/>
  </r>
  <r>
    <x v="0"/>
    <x v="13"/>
    <x v="13"/>
    <x v="12"/>
    <x v="12"/>
    <x v="12"/>
    <x v="12"/>
    <x v="241"/>
    <x v="10"/>
    <x v="53"/>
    <x v="42"/>
    <x v="47"/>
    <x v="147"/>
    <x v="15"/>
  </r>
  <r>
    <x v="0"/>
    <x v="13"/>
    <x v="13"/>
    <x v="18"/>
    <x v="18"/>
    <x v="18"/>
    <x v="13"/>
    <x v="74"/>
    <x v="212"/>
    <x v="184"/>
    <x v="213"/>
    <x v="76"/>
    <x v="76"/>
    <x v="15"/>
  </r>
  <r>
    <x v="0"/>
    <x v="13"/>
    <x v="13"/>
    <x v="14"/>
    <x v="14"/>
    <x v="14"/>
    <x v="14"/>
    <x v="120"/>
    <x v="213"/>
    <x v="103"/>
    <x v="183"/>
    <x v="107"/>
    <x v="211"/>
    <x v="7"/>
  </r>
  <r>
    <x v="0"/>
    <x v="13"/>
    <x v="13"/>
    <x v="10"/>
    <x v="10"/>
    <x v="10"/>
    <x v="15"/>
    <x v="242"/>
    <x v="214"/>
    <x v="89"/>
    <x v="117"/>
    <x v="204"/>
    <x v="212"/>
    <x v="15"/>
  </r>
  <r>
    <x v="0"/>
    <x v="13"/>
    <x v="13"/>
    <x v="19"/>
    <x v="19"/>
    <x v="19"/>
    <x v="16"/>
    <x v="243"/>
    <x v="87"/>
    <x v="74"/>
    <x v="41"/>
    <x v="221"/>
    <x v="213"/>
    <x v="15"/>
  </r>
  <r>
    <x v="0"/>
    <x v="13"/>
    <x v="13"/>
    <x v="15"/>
    <x v="15"/>
    <x v="15"/>
    <x v="17"/>
    <x v="55"/>
    <x v="201"/>
    <x v="50"/>
    <x v="90"/>
    <x v="182"/>
    <x v="214"/>
    <x v="15"/>
  </r>
  <r>
    <x v="0"/>
    <x v="13"/>
    <x v="13"/>
    <x v="25"/>
    <x v="25"/>
    <x v="25"/>
    <x v="18"/>
    <x v="244"/>
    <x v="215"/>
    <x v="89"/>
    <x v="117"/>
    <x v="124"/>
    <x v="215"/>
    <x v="15"/>
  </r>
  <r>
    <x v="0"/>
    <x v="13"/>
    <x v="13"/>
    <x v="17"/>
    <x v="17"/>
    <x v="17"/>
    <x v="19"/>
    <x v="245"/>
    <x v="58"/>
    <x v="48"/>
    <x v="104"/>
    <x v="222"/>
    <x v="118"/>
    <x v="15"/>
  </r>
  <r>
    <x v="0"/>
    <x v="14"/>
    <x v="14"/>
    <x v="2"/>
    <x v="2"/>
    <x v="2"/>
    <x v="0"/>
    <x v="246"/>
    <x v="216"/>
    <x v="185"/>
    <x v="214"/>
    <x v="223"/>
    <x v="216"/>
    <x v="3"/>
  </r>
  <r>
    <x v="0"/>
    <x v="14"/>
    <x v="14"/>
    <x v="0"/>
    <x v="0"/>
    <x v="0"/>
    <x v="1"/>
    <x v="247"/>
    <x v="217"/>
    <x v="186"/>
    <x v="131"/>
    <x v="224"/>
    <x v="217"/>
    <x v="13"/>
  </r>
  <r>
    <x v="0"/>
    <x v="14"/>
    <x v="14"/>
    <x v="1"/>
    <x v="1"/>
    <x v="1"/>
    <x v="2"/>
    <x v="248"/>
    <x v="218"/>
    <x v="187"/>
    <x v="215"/>
    <x v="225"/>
    <x v="218"/>
    <x v="15"/>
  </r>
  <r>
    <x v="0"/>
    <x v="14"/>
    <x v="14"/>
    <x v="3"/>
    <x v="3"/>
    <x v="3"/>
    <x v="3"/>
    <x v="249"/>
    <x v="2"/>
    <x v="188"/>
    <x v="216"/>
    <x v="226"/>
    <x v="146"/>
    <x v="15"/>
  </r>
  <r>
    <x v="0"/>
    <x v="14"/>
    <x v="14"/>
    <x v="11"/>
    <x v="11"/>
    <x v="11"/>
    <x v="4"/>
    <x v="250"/>
    <x v="219"/>
    <x v="189"/>
    <x v="217"/>
    <x v="227"/>
    <x v="219"/>
    <x v="15"/>
  </r>
  <r>
    <x v="0"/>
    <x v="14"/>
    <x v="14"/>
    <x v="4"/>
    <x v="4"/>
    <x v="4"/>
    <x v="5"/>
    <x v="251"/>
    <x v="220"/>
    <x v="190"/>
    <x v="218"/>
    <x v="228"/>
    <x v="220"/>
    <x v="3"/>
  </r>
  <r>
    <x v="0"/>
    <x v="14"/>
    <x v="14"/>
    <x v="12"/>
    <x v="12"/>
    <x v="12"/>
    <x v="6"/>
    <x v="252"/>
    <x v="221"/>
    <x v="136"/>
    <x v="219"/>
    <x v="229"/>
    <x v="191"/>
    <x v="15"/>
  </r>
  <r>
    <x v="0"/>
    <x v="14"/>
    <x v="14"/>
    <x v="13"/>
    <x v="13"/>
    <x v="13"/>
    <x v="7"/>
    <x v="253"/>
    <x v="222"/>
    <x v="167"/>
    <x v="220"/>
    <x v="230"/>
    <x v="221"/>
    <x v="15"/>
  </r>
  <r>
    <x v="0"/>
    <x v="14"/>
    <x v="14"/>
    <x v="19"/>
    <x v="19"/>
    <x v="19"/>
    <x v="8"/>
    <x v="254"/>
    <x v="64"/>
    <x v="54"/>
    <x v="221"/>
    <x v="231"/>
    <x v="203"/>
    <x v="15"/>
  </r>
  <r>
    <x v="0"/>
    <x v="14"/>
    <x v="14"/>
    <x v="14"/>
    <x v="14"/>
    <x v="14"/>
    <x v="9"/>
    <x v="255"/>
    <x v="223"/>
    <x v="78"/>
    <x v="222"/>
    <x v="232"/>
    <x v="222"/>
    <x v="7"/>
  </r>
  <r>
    <x v="0"/>
    <x v="14"/>
    <x v="14"/>
    <x v="5"/>
    <x v="5"/>
    <x v="5"/>
    <x v="10"/>
    <x v="256"/>
    <x v="26"/>
    <x v="191"/>
    <x v="22"/>
    <x v="188"/>
    <x v="223"/>
    <x v="15"/>
  </r>
  <r>
    <x v="0"/>
    <x v="14"/>
    <x v="14"/>
    <x v="9"/>
    <x v="9"/>
    <x v="9"/>
    <x v="11"/>
    <x v="257"/>
    <x v="82"/>
    <x v="192"/>
    <x v="9"/>
    <x v="233"/>
    <x v="165"/>
    <x v="3"/>
  </r>
  <r>
    <x v="0"/>
    <x v="14"/>
    <x v="14"/>
    <x v="17"/>
    <x v="17"/>
    <x v="17"/>
    <x v="12"/>
    <x v="258"/>
    <x v="224"/>
    <x v="47"/>
    <x v="180"/>
    <x v="234"/>
    <x v="186"/>
    <x v="15"/>
  </r>
  <r>
    <x v="0"/>
    <x v="14"/>
    <x v="14"/>
    <x v="24"/>
    <x v="24"/>
    <x v="24"/>
    <x v="13"/>
    <x v="259"/>
    <x v="11"/>
    <x v="44"/>
    <x v="223"/>
    <x v="176"/>
    <x v="224"/>
    <x v="15"/>
  </r>
  <r>
    <x v="0"/>
    <x v="14"/>
    <x v="14"/>
    <x v="25"/>
    <x v="25"/>
    <x v="25"/>
    <x v="14"/>
    <x v="260"/>
    <x v="120"/>
    <x v="51"/>
    <x v="64"/>
    <x v="50"/>
    <x v="142"/>
    <x v="15"/>
  </r>
  <r>
    <x v="0"/>
    <x v="14"/>
    <x v="14"/>
    <x v="7"/>
    <x v="7"/>
    <x v="7"/>
    <x v="15"/>
    <x v="144"/>
    <x v="15"/>
    <x v="193"/>
    <x v="224"/>
    <x v="66"/>
    <x v="225"/>
    <x v="15"/>
  </r>
  <r>
    <x v="0"/>
    <x v="14"/>
    <x v="14"/>
    <x v="15"/>
    <x v="15"/>
    <x v="15"/>
    <x v="16"/>
    <x v="261"/>
    <x v="134"/>
    <x v="45"/>
    <x v="50"/>
    <x v="50"/>
    <x v="142"/>
    <x v="15"/>
  </r>
  <r>
    <x v="0"/>
    <x v="14"/>
    <x v="14"/>
    <x v="34"/>
    <x v="34"/>
    <x v="34"/>
    <x v="17"/>
    <x v="262"/>
    <x v="198"/>
    <x v="55"/>
    <x v="225"/>
    <x v="221"/>
    <x v="103"/>
    <x v="15"/>
  </r>
  <r>
    <x v="0"/>
    <x v="14"/>
    <x v="14"/>
    <x v="8"/>
    <x v="8"/>
    <x v="8"/>
    <x v="18"/>
    <x v="263"/>
    <x v="19"/>
    <x v="76"/>
    <x v="226"/>
    <x v="235"/>
    <x v="93"/>
    <x v="15"/>
  </r>
  <r>
    <x v="0"/>
    <x v="14"/>
    <x v="14"/>
    <x v="26"/>
    <x v="26"/>
    <x v="26"/>
    <x v="19"/>
    <x v="245"/>
    <x v="225"/>
    <x v="66"/>
    <x v="62"/>
    <x v="236"/>
    <x v="92"/>
    <x v="15"/>
  </r>
  <r>
    <x v="0"/>
    <x v="15"/>
    <x v="15"/>
    <x v="0"/>
    <x v="0"/>
    <x v="0"/>
    <x v="0"/>
    <x v="264"/>
    <x v="226"/>
    <x v="194"/>
    <x v="227"/>
    <x v="237"/>
    <x v="226"/>
    <x v="15"/>
  </r>
  <r>
    <x v="0"/>
    <x v="15"/>
    <x v="15"/>
    <x v="1"/>
    <x v="1"/>
    <x v="1"/>
    <x v="1"/>
    <x v="265"/>
    <x v="227"/>
    <x v="195"/>
    <x v="228"/>
    <x v="238"/>
    <x v="23"/>
    <x v="15"/>
  </r>
  <r>
    <x v="0"/>
    <x v="15"/>
    <x v="15"/>
    <x v="3"/>
    <x v="3"/>
    <x v="3"/>
    <x v="2"/>
    <x v="266"/>
    <x v="228"/>
    <x v="196"/>
    <x v="229"/>
    <x v="239"/>
    <x v="146"/>
    <x v="15"/>
  </r>
  <r>
    <x v="0"/>
    <x v="15"/>
    <x v="15"/>
    <x v="2"/>
    <x v="2"/>
    <x v="2"/>
    <x v="3"/>
    <x v="90"/>
    <x v="229"/>
    <x v="181"/>
    <x v="230"/>
    <x v="240"/>
    <x v="227"/>
    <x v="15"/>
  </r>
  <r>
    <x v="0"/>
    <x v="15"/>
    <x v="15"/>
    <x v="4"/>
    <x v="4"/>
    <x v="4"/>
    <x v="4"/>
    <x v="267"/>
    <x v="230"/>
    <x v="86"/>
    <x v="231"/>
    <x v="145"/>
    <x v="228"/>
    <x v="15"/>
  </r>
  <r>
    <x v="0"/>
    <x v="15"/>
    <x v="15"/>
    <x v="5"/>
    <x v="5"/>
    <x v="5"/>
    <x v="5"/>
    <x v="96"/>
    <x v="42"/>
    <x v="197"/>
    <x v="232"/>
    <x v="241"/>
    <x v="229"/>
    <x v="15"/>
  </r>
  <r>
    <x v="0"/>
    <x v="15"/>
    <x v="15"/>
    <x v="7"/>
    <x v="7"/>
    <x v="7"/>
    <x v="6"/>
    <x v="113"/>
    <x v="231"/>
    <x v="198"/>
    <x v="54"/>
    <x v="242"/>
    <x v="87"/>
    <x v="15"/>
  </r>
  <r>
    <x v="0"/>
    <x v="15"/>
    <x v="15"/>
    <x v="6"/>
    <x v="6"/>
    <x v="6"/>
    <x v="7"/>
    <x v="56"/>
    <x v="45"/>
    <x v="100"/>
    <x v="133"/>
    <x v="243"/>
    <x v="230"/>
    <x v="15"/>
  </r>
  <r>
    <x v="0"/>
    <x v="15"/>
    <x v="15"/>
    <x v="8"/>
    <x v="8"/>
    <x v="8"/>
    <x v="8"/>
    <x v="201"/>
    <x v="232"/>
    <x v="199"/>
    <x v="182"/>
    <x v="124"/>
    <x v="141"/>
    <x v="15"/>
  </r>
  <r>
    <x v="0"/>
    <x v="15"/>
    <x v="15"/>
    <x v="9"/>
    <x v="9"/>
    <x v="9"/>
    <x v="9"/>
    <x v="124"/>
    <x v="233"/>
    <x v="200"/>
    <x v="233"/>
    <x v="244"/>
    <x v="231"/>
    <x v="3"/>
  </r>
  <r>
    <x v="0"/>
    <x v="15"/>
    <x v="15"/>
    <x v="13"/>
    <x v="13"/>
    <x v="13"/>
    <x v="10"/>
    <x v="268"/>
    <x v="68"/>
    <x v="145"/>
    <x v="234"/>
    <x v="245"/>
    <x v="27"/>
    <x v="15"/>
  </r>
  <r>
    <x v="0"/>
    <x v="15"/>
    <x v="15"/>
    <x v="12"/>
    <x v="12"/>
    <x v="12"/>
    <x v="11"/>
    <x v="58"/>
    <x v="11"/>
    <x v="76"/>
    <x v="183"/>
    <x v="239"/>
    <x v="146"/>
    <x v="15"/>
  </r>
  <r>
    <x v="0"/>
    <x v="15"/>
    <x v="15"/>
    <x v="10"/>
    <x v="10"/>
    <x v="10"/>
    <x v="12"/>
    <x v="269"/>
    <x v="175"/>
    <x v="136"/>
    <x v="42"/>
    <x v="246"/>
    <x v="47"/>
    <x v="15"/>
  </r>
  <r>
    <x v="0"/>
    <x v="15"/>
    <x v="15"/>
    <x v="11"/>
    <x v="11"/>
    <x v="11"/>
    <x v="13"/>
    <x v="130"/>
    <x v="234"/>
    <x v="201"/>
    <x v="235"/>
    <x v="199"/>
    <x v="200"/>
    <x v="15"/>
  </r>
  <r>
    <x v="0"/>
    <x v="15"/>
    <x v="15"/>
    <x v="19"/>
    <x v="19"/>
    <x v="19"/>
    <x v="14"/>
    <x v="270"/>
    <x v="235"/>
    <x v="47"/>
    <x v="16"/>
    <x v="151"/>
    <x v="164"/>
    <x v="15"/>
  </r>
  <r>
    <x v="0"/>
    <x v="15"/>
    <x v="15"/>
    <x v="14"/>
    <x v="14"/>
    <x v="14"/>
    <x v="15"/>
    <x v="207"/>
    <x v="104"/>
    <x v="147"/>
    <x v="168"/>
    <x v="247"/>
    <x v="126"/>
    <x v="15"/>
  </r>
  <r>
    <x v="0"/>
    <x v="15"/>
    <x v="15"/>
    <x v="17"/>
    <x v="17"/>
    <x v="17"/>
    <x v="16"/>
    <x v="271"/>
    <x v="236"/>
    <x v="48"/>
    <x v="44"/>
    <x v="247"/>
    <x v="126"/>
    <x v="15"/>
  </r>
  <r>
    <x v="0"/>
    <x v="15"/>
    <x v="15"/>
    <x v="15"/>
    <x v="15"/>
    <x v="15"/>
    <x v="17"/>
    <x v="272"/>
    <x v="237"/>
    <x v="47"/>
    <x v="16"/>
    <x v="248"/>
    <x v="76"/>
    <x v="15"/>
  </r>
  <r>
    <x v="0"/>
    <x v="15"/>
    <x v="15"/>
    <x v="18"/>
    <x v="18"/>
    <x v="18"/>
    <x v="18"/>
    <x v="273"/>
    <x v="238"/>
    <x v="49"/>
    <x v="236"/>
    <x v="249"/>
    <x v="189"/>
    <x v="15"/>
  </r>
  <r>
    <x v="0"/>
    <x v="15"/>
    <x v="15"/>
    <x v="25"/>
    <x v="25"/>
    <x v="25"/>
    <x v="19"/>
    <x v="274"/>
    <x v="225"/>
    <x v="102"/>
    <x v="149"/>
    <x v="250"/>
    <x v="90"/>
    <x v="15"/>
  </r>
  <r>
    <x v="0"/>
    <x v="16"/>
    <x v="16"/>
    <x v="0"/>
    <x v="0"/>
    <x v="0"/>
    <x v="0"/>
    <x v="275"/>
    <x v="239"/>
    <x v="187"/>
    <x v="237"/>
    <x v="251"/>
    <x v="232"/>
    <x v="5"/>
  </r>
  <r>
    <x v="0"/>
    <x v="16"/>
    <x v="16"/>
    <x v="1"/>
    <x v="1"/>
    <x v="1"/>
    <x v="1"/>
    <x v="276"/>
    <x v="240"/>
    <x v="202"/>
    <x v="238"/>
    <x v="252"/>
    <x v="233"/>
    <x v="3"/>
  </r>
  <r>
    <x v="0"/>
    <x v="16"/>
    <x v="16"/>
    <x v="3"/>
    <x v="3"/>
    <x v="3"/>
    <x v="2"/>
    <x v="277"/>
    <x v="241"/>
    <x v="203"/>
    <x v="239"/>
    <x v="233"/>
    <x v="6"/>
    <x v="15"/>
  </r>
  <r>
    <x v="0"/>
    <x v="16"/>
    <x v="16"/>
    <x v="2"/>
    <x v="2"/>
    <x v="2"/>
    <x v="3"/>
    <x v="137"/>
    <x v="242"/>
    <x v="204"/>
    <x v="174"/>
    <x v="253"/>
    <x v="234"/>
    <x v="15"/>
  </r>
  <r>
    <x v="0"/>
    <x v="16"/>
    <x v="16"/>
    <x v="4"/>
    <x v="4"/>
    <x v="4"/>
    <x v="4"/>
    <x v="278"/>
    <x v="243"/>
    <x v="205"/>
    <x v="240"/>
    <x v="254"/>
    <x v="235"/>
    <x v="3"/>
  </r>
  <r>
    <x v="0"/>
    <x v="16"/>
    <x v="16"/>
    <x v="5"/>
    <x v="5"/>
    <x v="5"/>
    <x v="5"/>
    <x v="279"/>
    <x v="152"/>
    <x v="12"/>
    <x v="241"/>
    <x v="255"/>
    <x v="236"/>
    <x v="15"/>
  </r>
  <r>
    <x v="0"/>
    <x v="16"/>
    <x v="16"/>
    <x v="9"/>
    <x v="9"/>
    <x v="9"/>
    <x v="6"/>
    <x v="141"/>
    <x v="195"/>
    <x v="206"/>
    <x v="242"/>
    <x v="256"/>
    <x v="89"/>
    <x v="3"/>
  </r>
  <r>
    <x v="0"/>
    <x v="16"/>
    <x v="16"/>
    <x v="7"/>
    <x v="7"/>
    <x v="7"/>
    <x v="7"/>
    <x v="108"/>
    <x v="244"/>
    <x v="207"/>
    <x v="141"/>
    <x v="257"/>
    <x v="165"/>
    <x v="15"/>
  </r>
  <r>
    <x v="0"/>
    <x v="16"/>
    <x v="16"/>
    <x v="8"/>
    <x v="8"/>
    <x v="8"/>
    <x v="8"/>
    <x v="280"/>
    <x v="82"/>
    <x v="208"/>
    <x v="149"/>
    <x v="165"/>
    <x v="237"/>
    <x v="15"/>
  </r>
  <r>
    <x v="0"/>
    <x v="16"/>
    <x v="16"/>
    <x v="6"/>
    <x v="6"/>
    <x v="6"/>
    <x v="9"/>
    <x v="120"/>
    <x v="233"/>
    <x v="107"/>
    <x v="243"/>
    <x v="258"/>
    <x v="238"/>
    <x v="15"/>
  </r>
  <r>
    <x v="0"/>
    <x v="16"/>
    <x v="16"/>
    <x v="12"/>
    <x v="12"/>
    <x v="12"/>
    <x v="10"/>
    <x v="52"/>
    <x v="245"/>
    <x v="209"/>
    <x v="89"/>
    <x v="259"/>
    <x v="143"/>
    <x v="15"/>
  </r>
  <r>
    <x v="0"/>
    <x v="16"/>
    <x v="16"/>
    <x v="11"/>
    <x v="11"/>
    <x v="11"/>
    <x v="11"/>
    <x v="281"/>
    <x v="224"/>
    <x v="210"/>
    <x v="244"/>
    <x v="260"/>
    <x v="239"/>
    <x v="15"/>
  </r>
  <r>
    <x v="0"/>
    <x v="16"/>
    <x v="16"/>
    <x v="13"/>
    <x v="13"/>
    <x v="13"/>
    <x v="12"/>
    <x v="282"/>
    <x v="246"/>
    <x v="146"/>
    <x v="245"/>
    <x v="236"/>
    <x v="48"/>
    <x v="15"/>
  </r>
  <r>
    <x v="0"/>
    <x v="16"/>
    <x v="16"/>
    <x v="19"/>
    <x v="19"/>
    <x v="19"/>
    <x v="13"/>
    <x v="176"/>
    <x v="14"/>
    <x v="137"/>
    <x v="72"/>
    <x v="261"/>
    <x v="163"/>
    <x v="15"/>
  </r>
  <r>
    <x v="0"/>
    <x v="16"/>
    <x v="16"/>
    <x v="10"/>
    <x v="10"/>
    <x v="10"/>
    <x v="14"/>
    <x v="283"/>
    <x v="247"/>
    <x v="102"/>
    <x v="12"/>
    <x v="54"/>
    <x v="152"/>
    <x v="15"/>
  </r>
  <r>
    <x v="0"/>
    <x v="16"/>
    <x v="16"/>
    <x v="15"/>
    <x v="15"/>
    <x v="15"/>
    <x v="15"/>
    <x v="58"/>
    <x v="179"/>
    <x v="60"/>
    <x v="56"/>
    <x v="209"/>
    <x v="51"/>
    <x v="15"/>
  </r>
  <r>
    <x v="0"/>
    <x v="16"/>
    <x v="16"/>
    <x v="14"/>
    <x v="14"/>
    <x v="14"/>
    <x v="16"/>
    <x v="284"/>
    <x v="122"/>
    <x v="137"/>
    <x v="72"/>
    <x v="262"/>
    <x v="134"/>
    <x v="3"/>
  </r>
  <r>
    <x v="0"/>
    <x v="16"/>
    <x v="16"/>
    <x v="18"/>
    <x v="18"/>
    <x v="18"/>
    <x v="17"/>
    <x v="285"/>
    <x v="89"/>
    <x v="211"/>
    <x v="246"/>
    <x v="197"/>
    <x v="240"/>
    <x v="15"/>
  </r>
  <r>
    <x v="0"/>
    <x v="16"/>
    <x v="16"/>
    <x v="17"/>
    <x v="17"/>
    <x v="17"/>
    <x v="18"/>
    <x v="286"/>
    <x v="106"/>
    <x v="56"/>
    <x v="17"/>
    <x v="174"/>
    <x v="241"/>
    <x v="15"/>
  </r>
  <r>
    <x v="0"/>
    <x v="16"/>
    <x v="16"/>
    <x v="25"/>
    <x v="25"/>
    <x v="25"/>
    <x v="19"/>
    <x v="287"/>
    <x v="248"/>
    <x v="209"/>
    <x v="89"/>
    <x v="67"/>
    <x v="242"/>
    <x v="7"/>
  </r>
  <r>
    <x v="0"/>
    <x v="17"/>
    <x v="17"/>
    <x v="0"/>
    <x v="0"/>
    <x v="0"/>
    <x v="0"/>
    <x v="288"/>
    <x v="249"/>
    <x v="62"/>
    <x v="247"/>
    <x v="263"/>
    <x v="243"/>
    <x v="5"/>
  </r>
  <r>
    <x v="0"/>
    <x v="17"/>
    <x v="17"/>
    <x v="1"/>
    <x v="1"/>
    <x v="1"/>
    <x v="1"/>
    <x v="289"/>
    <x v="250"/>
    <x v="212"/>
    <x v="248"/>
    <x v="264"/>
    <x v="244"/>
    <x v="15"/>
  </r>
  <r>
    <x v="0"/>
    <x v="17"/>
    <x v="17"/>
    <x v="2"/>
    <x v="2"/>
    <x v="2"/>
    <x v="2"/>
    <x v="290"/>
    <x v="251"/>
    <x v="213"/>
    <x v="249"/>
    <x v="265"/>
    <x v="245"/>
    <x v="4"/>
  </r>
  <r>
    <x v="0"/>
    <x v="17"/>
    <x v="17"/>
    <x v="3"/>
    <x v="3"/>
    <x v="3"/>
    <x v="3"/>
    <x v="236"/>
    <x v="252"/>
    <x v="214"/>
    <x v="250"/>
    <x v="213"/>
    <x v="246"/>
    <x v="15"/>
  </r>
  <r>
    <x v="0"/>
    <x v="17"/>
    <x v="17"/>
    <x v="4"/>
    <x v="4"/>
    <x v="4"/>
    <x v="4"/>
    <x v="291"/>
    <x v="253"/>
    <x v="215"/>
    <x v="251"/>
    <x v="266"/>
    <x v="247"/>
    <x v="15"/>
  </r>
  <r>
    <x v="0"/>
    <x v="17"/>
    <x v="17"/>
    <x v="5"/>
    <x v="5"/>
    <x v="5"/>
    <x v="5"/>
    <x v="47"/>
    <x v="112"/>
    <x v="216"/>
    <x v="70"/>
    <x v="159"/>
    <x v="193"/>
    <x v="15"/>
  </r>
  <r>
    <x v="0"/>
    <x v="17"/>
    <x v="17"/>
    <x v="11"/>
    <x v="11"/>
    <x v="11"/>
    <x v="6"/>
    <x v="258"/>
    <x v="254"/>
    <x v="146"/>
    <x v="252"/>
    <x v="93"/>
    <x v="248"/>
    <x v="15"/>
  </r>
  <r>
    <x v="0"/>
    <x v="17"/>
    <x v="17"/>
    <x v="12"/>
    <x v="12"/>
    <x v="12"/>
    <x v="7"/>
    <x v="73"/>
    <x v="63"/>
    <x v="102"/>
    <x v="169"/>
    <x v="267"/>
    <x v="98"/>
    <x v="15"/>
  </r>
  <r>
    <x v="0"/>
    <x v="17"/>
    <x v="17"/>
    <x v="7"/>
    <x v="7"/>
    <x v="7"/>
    <x v="8"/>
    <x v="52"/>
    <x v="144"/>
    <x v="59"/>
    <x v="175"/>
    <x v="58"/>
    <x v="116"/>
    <x v="15"/>
  </r>
  <r>
    <x v="0"/>
    <x v="17"/>
    <x v="17"/>
    <x v="9"/>
    <x v="9"/>
    <x v="9"/>
    <x v="9"/>
    <x v="292"/>
    <x v="255"/>
    <x v="69"/>
    <x v="253"/>
    <x v="268"/>
    <x v="249"/>
    <x v="3"/>
  </r>
  <r>
    <x v="0"/>
    <x v="17"/>
    <x v="17"/>
    <x v="13"/>
    <x v="13"/>
    <x v="13"/>
    <x v="10"/>
    <x v="53"/>
    <x v="9"/>
    <x v="114"/>
    <x v="254"/>
    <x v="170"/>
    <x v="12"/>
    <x v="15"/>
  </r>
  <r>
    <x v="0"/>
    <x v="17"/>
    <x v="17"/>
    <x v="6"/>
    <x v="6"/>
    <x v="6"/>
    <x v="11"/>
    <x v="176"/>
    <x v="159"/>
    <x v="209"/>
    <x v="255"/>
    <x v="153"/>
    <x v="195"/>
    <x v="15"/>
  </r>
  <r>
    <x v="0"/>
    <x v="17"/>
    <x v="17"/>
    <x v="14"/>
    <x v="14"/>
    <x v="14"/>
    <x v="12"/>
    <x v="293"/>
    <x v="256"/>
    <x v="76"/>
    <x v="72"/>
    <x v="269"/>
    <x v="210"/>
    <x v="4"/>
  </r>
  <r>
    <x v="0"/>
    <x v="17"/>
    <x v="17"/>
    <x v="10"/>
    <x v="10"/>
    <x v="10"/>
    <x v="13"/>
    <x v="294"/>
    <x v="175"/>
    <x v="103"/>
    <x v="117"/>
    <x v="177"/>
    <x v="70"/>
    <x v="15"/>
  </r>
  <r>
    <x v="0"/>
    <x v="17"/>
    <x v="17"/>
    <x v="17"/>
    <x v="17"/>
    <x v="17"/>
    <x v="14"/>
    <x v="115"/>
    <x v="257"/>
    <x v="48"/>
    <x v="17"/>
    <x v="235"/>
    <x v="250"/>
    <x v="15"/>
  </r>
  <r>
    <x v="0"/>
    <x v="17"/>
    <x v="17"/>
    <x v="15"/>
    <x v="15"/>
    <x v="15"/>
    <x v="15"/>
    <x v="57"/>
    <x v="120"/>
    <x v="44"/>
    <x v="43"/>
    <x v="270"/>
    <x v="22"/>
    <x v="15"/>
  </r>
  <r>
    <x v="0"/>
    <x v="17"/>
    <x v="17"/>
    <x v="8"/>
    <x v="8"/>
    <x v="8"/>
    <x v="16"/>
    <x v="295"/>
    <x v="234"/>
    <x v="147"/>
    <x v="184"/>
    <x v="271"/>
    <x v="69"/>
    <x v="15"/>
  </r>
  <r>
    <x v="0"/>
    <x v="17"/>
    <x v="17"/>
    <x v="19"/>
    <x v="19"/>
    <x v="19"/>
    <x v="17"/>
    <x v="296"/>
    <x v="236"/>
    <x v="147"/>
    <x v="184"/>
    <x v="272"/>
    <x v="171"/>
    <x v="3"/>
  </r>
  <r>
    <x v="0"/>
    <x v="17"/>
    <x v="17"/>
    <x v="20"/>
    <x v="20"/>
    <x v="20"/>
    <x v="18"/>
    <x v="297"/>
    <x v="187"/>
    <x v="74"/>
    <x v="31"/>
    <x v="273"/>
    <x v="251"/>
    <x v="15"/>
  </r>
  <r>
    <x v="0"/>
    <x v="17"/>
    <x v="17"/>
    <x v="16"/>
    <x v="16"/>
    <x v="16"/>
    <x v="19"/>
    <x v="298"/>
    <x v="258"/>
    <x v="56"/>
    <x v="256"/>
    <x v="127"/>
    <x v="252"/>
    <x v="15"/>
  </r>
  <r>
    <x v="0"/>
    <x v="18"/>
    <x v="18"/>
    <x v="0"/>
    <x v="0"/>
    <x v="0"/>
    <x v="0"/>
    <x v="299"/>
    <x v="259"/>
    <x v="217"/>
    <x v="257"/>
    <x v="274"/>
    <x v="253"/>
    <x v="3"/>
  </r>
  <r>
    <x v="0"/>
    <x v="18"/>
    <x v="18"/>
    <x v="1"/>
    <x v="1"/>
    <x v="1"/>
    <x v="1"/>
    <x v="300"/>
    <x v="260"/>
    <x v="218"/>
    <x v="258"/>
    <x v="195"/>
    <x v="254"/>
    <x v="15"/>
  </r>
  <r>
    <x v="0"/>
    <x v="18"/>
    <x v="18"/>
    <x v="3"/>
    <x v="3"/>
    <x v="3"/>
    <x v="2"/>
    <x v="43"/>
    <x v="261"/>
    <x v="106"/>
    <x v="259"/>
    <x v="275"/>
    <x v="100"/>
    <x v="15"/>
  </r>
  <r>
    <x v="0"/>
    <x v="18"/>
    <x v="18"/>
    <x v="4"/>
    <x v="4"/>
    <x v="4"/>
    <x v="3"/>
    <x v="170"/>
    <x v="262"/>
    <x v="219"/>
    <x v="260"/>
    <x v="213"/>
    <x v="1"/>
    <x v="3"/>
  </r>
  <r>
    <x v="0"/>
    <x v="18"/>
    <x v="18"/>
    <x v="7"/>
    <x v="7"/>
    <x v="7"/>
    <x v="4"/>
    <x v="156"/>
    <x v="93"/>
    <x v="220"/>
    <x v="261"/>
    <x v="198"/>
    <x v="33"/>
    <x v="15"/>
  </r>
  <r>
    <x v="0"/>
    <x v="18"/>
    <x v="18"/>
    <x v="5"/>
    <x v="5"/>
    <x v="5"/>
    <x v="5"/>
    <x v="145"/>
    <x v="263"/>
    <x v="221"/>
    <x v="262"/>
    <x v="276"/>
    <x v="255"/>
    <x v="15"/>
  </r>
  <r>
    <x v="0"/>
    <x v="18"/>
    <x v="18"/>
    <x v="2"/>
    <x v="2"/>
    <x v="2"/>
    <x v="6"/>
    <x v="159"/>
    <x v="155"/>
    <x v="222"/>
    <x v="263"/>
    <x v="277"/>
    <x v="256"/>
    <x v="15"/>
  </r>
  <r>
    <x v="0"/>
    <x v="18"/>
    <x v="18"/>
    <x v="6"/>
    <x v="6"/>
    <x v="6"/>
    <x v="7"/>
    <x v="146"/>
    <x v="264"/>
    <x v="145"/>
    <x v="264"/>
    <x v="66"/>
    <x v="257"/>
    <x v="15"/>
  </r>
  <r>
    <x v="0"/>
    <x v="18"/>
    <x v="18"/>
    <x v="10"/>
    <x v="10"/>
    <x v="10"/>
    <x v="8"/>
    <x v="301"/>
    <x v="244"/>
    <x v="92"/>
    <x v="114"/>
    <x v="211"/>
    <x v="258"/>
    <x v="15"/>
  </r>
  <r>
    <x v="0"/>
    <x v="18"/>
    <x v="18"/>
    <x v="8"/>
    <x v="8"/>
    <x v="8"/>
    <x v="9"/>
    <x v="302"/>
    <x v="265"/>
    <x v="136"/>
    <x v="55"/>
    <x v="210"/>
    <x v="259"/>
    <x v="15"/>
  </r>
  <r>
    <x v="0"/>
    <x v="18"/>
    <x v="18"/>
    <x v="9"/>
    <x v="9"/>
    <x v="9"/>
    <x v="10"/>
    <x v="303"/>
    <x v="11"/>
    <x v="223"/>
    <x v="265"/>
    <x v="241"/>
    <x v="151"/>
    <x v="3"/>
  </r>
  <r>
    <x v="0"/>
    <x v="18"/>
    <x v="18"/>
    <x v="13"/>
    <x v="13"/>
    <x v="13"/>
    <x v="11"/>
    <x v="297"/>
    <x v="257"/>
    <x v="110"/>
    <x v="266"/>
    <x v="161"/>
    <x v="152"/>
    <x v="15"/>
  </r>
  <r>
    <x v="0"/>
    <x v="18"/>
    <x v="18"/>
    <x v="11"/>
    <x v="11"/>
    <x v="11"/>
    <x v="12"/>
    <x v="130"/>
    <x v="214"/>
    <x v="171"/>
    <x v="267"/>
    <x v="278"/>
    <x v="260"/>
    <x v="15"/>
  </r>
  <r>
    <x v="0"/>
    <x v="18"/>
    <x v="18"/>
    <x v="12"/>
    <x v="12"/>
    <x v="12"/>
    <x v="13"/>
    <x v="304"/>
    <x v="119"/>
    <x v="113"/>
    <x v="268"/>
    <x v="242"/>
    <x v="149"/>
    <x v="15"/>
  </r>
  <r>
    <x v="0"/>
    <x v="18"/>
    <x v="18"/>
    <x v="15"/>
    <x v="15"/>
    <x v="15"/>
    <x v="14"/>
    <x v="305"/>
    <x v="73"/>
    <x v="78"/>
    <x v="84"/>
    <x v="279"/>
    <x v="22"/>
    <x v="15"/>
  </r>
  <r>
    <x v="0"/>
    <x v="18"/>
    <x v="18"/>
    <x v="20"/>
    <x v="20"/>
    <x v="20"/>
    <x v="15"/>
    <x v="306"/>
    <x v="266"/>
    <x v="101"/>
    <x v="269"/>
    <x v="247"/>
    <x v="261"/>
    <x v="15"/>
  </r>
  <r>
    <x v="0"/>
    <x v="18"/>
    <x v="18"/>
    <x v="14"/>
    <x v="14"/>
    <x v="14"/>
    <x v="16"/>
    <x v="210"/>
    <x v="187"/>
    <x v="47"/>
    <x v="16"/>
    <x v="121"/>
    <x v="262"/>
    <x v="15"/>
  </r>
  <r>
    <x v="0"/>
    <x v="18"/>
    <x v="18"/>
    <x v="21"/>
    <x v="21"/>
    <x v="21"/>
    <x v="17"/>
    <x v="307"/>
    <x v="122"/>
    <x v="46"/>
    <x v="219"/>
    <x v="280"/>
    <x v="111"/>
    <x v="15"/>
  </r>
  <r>
    <x v="0"/>
    <x v="18"/>
    <x v="18"/>
    <x v="18"/>
    <x v="18"/>
    <x v="18"/>
    <x v="18"/>
    <x v="308"/>
    <x v="258"/>
    <x v="224"/>
    <x v="270"/>
    <x v="281"/>
    <x v="263"/>
    <x v="15"/>
  </r>
  <r>
    <x v="0"/>
    <x v="18"/>
    <x v="18"/>
    <x v="16"/>
    <x v="16"/>
    <x v="16"/>
    <x v="19"/>
    <x v="309"/>
    <x v="215"/>
    <x v="76"/>
    <x v="41"/>
    <x v="53"/>
    <x v="264"/>
    <x v="15"/>
  </r>
  <r>
    <x v="0"/>
    <x v="19"/>
    <x v="19"/>
    <x v="1"/>
    <x v="1"/>
    <x v="1"/>
    <x v="0"/>
    <x v="310"/>
    <x v="267"/>
    <x v="225"/>
    <x v="271"/>
    <x v="162"/>
    <x v="265"/>
    <x v="15"/>
  </r>
  <r>
    <x v="0"/>
    <x v="19"/>
    <x v="19"/>
    <x v="0"/>
    <x v="0"/>
    <x v="0"/>
    <x v="1"/>
    <x v="311"/>
    <x v="268"/>
    <x v="226"/>
    <x v="272"/>
    <x v="258"/>
    <x v="266"/>
    <x v="3"/>
  </r>
  <r>
    <x v="0"/>
    <x v="19"/>
    <x v="19"/>
    <x v="3"/>
    <x v="3"/>
    <x v="3"/>
    <x v="2"/>
    <x v="280"/>
    <x v="269"/>
    <x v="227"/>
    <x v="273"/>
    <x v="282"/>
    <x v="206"/>
    <x v="15"/>
  </r>
  <r>
    <x v="0"/>
    <x v="19"/>
    <x v="19"/>
    <x v="4"/>
    <x v="4"/>
    <x v="4"/>
    <x v="3"/>
    <x v="282"/>
    <x v="270"/>
    <x v="228"/>
    <x v="274"/>
    <x v="283"/>
    <x v="237"/>
    <x v="15"/>
  </r>
  <r>
    <x v="0"/>
    <x v="19"/>
    <x v="19"/>
    <x v="7"/>
    <x v="7"/>
    <x v="7"/>
    <x v="4"/>
    <x v="175"/>
    <x v="271"/>
    <x v="229"/>
    <x v="275"/>
    <x v="159"/>
    <x v="22"/>
    <x v="15"/>
  </r>
  <r>
    <x v="0"/>
    <x v="19"/>
    <x v="19"/>
    <x v="6"/>
    <x v="6"/>
    <x v="6"/>
    <x v="5"/>
    <x v="312"/>
    <x v="130"/>
    <x v="208"/>
    <x v="276"/>
    <x v="260"/>
    <x v="267"/>
    <x v="15"/>
  </r>
  <r>
    <x v="0"/>
    <x v="19"/>
    <x v="19"/>
    <x v="20"/>
    <x v="20"/>
    <x v="20"/>
    <x v="6"/>
    <x v="192"/>
    <x v="272"/>
    <x v="208"/>
    <x v="276"/>
    <x v="275"/>
    <x v="235"/>
    <x v="15"/>
  </r>
  <r>
    <x v="0"/>
    <x v="19"/>
    <x v="19"/>
    <x v="30"/>
    <x v="30"/>
    <x v="30"/>
    <x v="7"/>
    <x v="59"/>
    <x v="273"/>
    <x v="114"/>
    <x v="277"/>
    <x v="196"/>
    <x v="268"/>
    <x v="15"/>
  </r>
  <r>
    <x v="0"/>
    <x v="19"/>
    <x v="19"/>
    <x v="5"/>
    <x v="5"/>
    <x v="5"/>
    <x v="8"/>
    <x v="313"/>
    <x v="82"/>
    <x v="230"/>
    <x v="278"/>
    <x v="284"/>
    <x v="17"/>
    <x v="15"/>
  </r>
  <r>
    <x v="0"/>
    <x v="19"/>
    <x v="19"/>
    <x v="8"/>
    <x v="8"/>
    <x v="8"/>
    <x v="9"/>
    <x v="129"/>
    <x v="9"/>
    <x v="60"/>
    <x v="102"/>
    <x v="183"/>
    <x v="269"/>
    <x v="15"/>
  </r>
  <r>
    <x v="0"/>
    <x v="19"/>
    <x v="19"/>
    <x v="2"/>
    <x v="2"/>
    <x v="2"/>
    <x v="10"/>
    <x v="314"/>
    <x v="274"/>
    <x v="231"/>
    <x v="279"/>
    <x v="285"/>
    <x v="251"/>
    <x v="15"/>
  </r>
  <r>
    <x v="0"/>
    <x v="19"/>
    <x v="19"/>
    <x v="10"/>
    <x v="10"/>
    <x v="10"/>
    <x v="11"/>
    <x v="205"/>
    <x v="48"/>
    <x v="60"/>
    <x v="102"/>
    <x v="242"/>
    <x v="140"/>
    <x v="15"/>
  </r>
  <r>
    <x v="0"/>
    <x v="19"/>
    <x v="19"/>
    <x v="11"/>
    <x v="11"/>
    <x v="11"/>
    <x v="12"/>
    <x v="315"/>
    <x v="275"/>
    <x v="171"/>
    <x v="193"/>
    <x v="286"/>
    <x v="28"/>
    <x v="15"/>
  </r>
  <r>
    <x v="0"/>
    <x v="19"/>
    <x v="19"/>
    <x v="28"/>
    <x v="28"/>
    <x v="28"/>
    <x v="13"/>
    <x v="316"/>
    <x v="33"/>
    <x v="232"/>
    <x v="280"/>
    <x v="287"/>
    <x v="270"/>
    <x v="15"/>
  </r>
  <r>
    <x v="0"/>
    <x v="19"/>
    <x v="19"/>
    <x v="21"/>
    <x v="21"/>
    <x v="21"/>
    <x v="13"/>
    <x v="316"/>
    <x v="33"/>
    <x v="46"/>
    <x v="281"/>
    <x v="288"/>
    <x v="271"/>
    <x v="15"/>
  </r>
  <r>
    <x v="0"/>
    <x v="19"/>
    <x v="19"/>
    <x v="15"/>
    <x v="15"/>
    <x v="15"/>
    <x v="15"/>
    <x v="271"/>
    <x v="276"/>
    <x v="74"/>
    <x v="148"/>
    <x v="131"/>
    <x v="172"/>
    <x v="15"/>
  </r>
  <r>
    <x v="0"/>
    <x v="19"/>
    <x v="19"/>
    <x v="9"/>
    <x v="9"/>
    <x v="9"/>
    <x v="16"/>
    <x v="308"/>
    <x v="177"/>
    <x v="211"/>
    <x v="282"/>
    <x v="289"/>
    <x v="272"/>
    <x v="5"/>
  </r>
  <r>
    <x v="0"/>
    <x v="19"/>
    <x v="19"/>
    <x v="13"/>
    <x v="13"/>
    <x v="13"/>
    <x v="17"/>
    <x v="317"/>
    <x v="103"/>
    <x v="92"/>
    <x v="64"/>
    <x v="290"/>
    <x v="139"/>
    <x v="15"/>
  </r>
  <r>
    <x v="0"/>
    <x v="19"/>
    <x v="19"/>
    <x v="12"/>
    <x v="12"/>
    <x v="12"/>
    <x v="18"/>
    <x v="318"/>
    <x v="201"/>
    <x v="137"/>
    <x v="89"/>
    <x v="129"/>
    <x v="89"/>
    <x v="15"/>
  </r>
  <r>
    <x v="0"/>
    <x v="19"/>
    <x v="19"/>
    <x v="18"/>
    <x v="18"/>
    <x v="18"/>
    <x v="19"/>
    <x v="319"/>
    <x v="237"/>
    <x v="209"/>
    <x v="199"/>
    <x v="291"/>
    <x v="273"/>
    <x v="15"/>
  </r>
  <r>
    <x v="0"/>
    <x v="20"/>
    <x v="20"/>
    <x v="1"/>
    <x v="1"/>
    <x v="1"/>
    <x v="0"/>
    <x v="320"/>
    <x v="277"/>
    <x v="233"/>
    <x v="283"/>
    <x v="292"/>
    <x v="163"/>
    <x v="15"/>
  </r>
  <r>
    <x v="0"/>
    <x v="20"/>
    <x v="20"/>
    <x v="0"/>
    <x v="0"/>
    <x v="0"/>
    <x v="1"/>
    <x v="321"/>
    <x v="40"/>
    <x v="234"/>
    <x v="284"/>
    <x v="293"/>
    <x v="274"/>
    <x v="5"/>
  </r>
  <r>
    <x v="0"/>
    <x v="20"/>
    <x v="20"/>
    <x v="3"/>
    <x v="3"/>
    <x v="3"/>
    <x v="2"/>
    <x v="322"/>
    <x v="278"/>
    <x v="235"/>
    <x v="285"/>
    <x v="294"/>
    <x v="30"/>
    <x v="15"/>
  </r>
  <r>
    <x v="0"/>
    <x v="20"/>
    <x v="20"/>
    <x v="6"/>
    <x v="6"/>
    <x v="6"/>
    <x v="3"/>
    <x v="323"/>
    <x v="110"/>
    <x v="189"/>
    <x v="286"/>
    <x v="230"/>
    <x v="275"/>
    <x v="15"/>
  </r>
  <r>
    <x v="0"/>
    <x v="20"/>
    <x v="20"/>
    <x v="4"/>
    <x v="4"/>
    <x v="4"/>
    <x v="4"/>
    <x v="324"/>
    <x v="279"/>
    <x v="236"/>
    <x v="287"/>
    <x v="295"/>
    <x v="276"/>
    <x v="15"/>
  </r>
  <r>
    <x v="0"/>
    <x v="20"/>
    <x v="20"/>
    <x v="5"/>
    <x v="5"/>
    <x v="5"/>
    <x v="5"/>
    <x v="325"/>
    <x v="280"/>
    <x v="237"/>
    <x v="0"/>
    <x v="296"/>
    <x v="277"/>
    <x v="15"/>
  </r>
  <r>
    <x v="0"/>
    <x v="20"/>
    <x v="20"/>
    <x v="10"/>
    <x v="10"/>
    <x v="10"/>
    <x v="6"/>
    <x v="267"/>
    <x v="281"/>
    <x v="199"/>
    <x v="288"/>
    <x v="297"/>
    <x v="278"/>
    <x v="15"/>
  </r>
  <r>
    <x v="0"/>
    <x v="20"/>
    <x v="20"/>
    <x v="8"/>
    <x v="8"/>
    <x v="8"/>
    <x v="7"/>
    <x v="110"/>
    <x v="209"/>
    <x v="117"/>
    <x v="255"/>
    <x v="298"/>
    <x v="279"/>
    <x v="15"/>
  </r>
  <r>
    <x v="0"/>
    <x v="20"/>
    <x v="20"/>
    <x v="2"/>
    <x v="2"/>
    <x v="2"/>
    <x v="8"/>
    <x v="170"/>
    <x v="282"/>
    <x v="219"/>
    <x v="289"/>
    <x v="213"/>
    <x v="208"/>
    <x v="3"/>
  </r>
  <r>
    <x v="0"/>
    <x v="20"/>
    <x v="20"/>
    <x v="7"/>
    <x v="7"/>
    <x v="7"/>
    <x v="9"/>
    <x v="223"/>
    <x v="272"/>
    <x v="238"/>
    <x v="290"/>
    <x v="128"/>
    <x v="25"/>
    <x v="15"/>
  </r>
  <r>
    <x v="0"/>
    <x v="20"/>
    <x v="20"/>
    <x v="9"/>
    <x v="9"/>
    <x v="9"/>
    <x v="10"/>
    <x v="95"/>
    <x v="65"/>
    <x v="239"/>
    <x v="291"/>
    <x v="288"/>
    <x v="260"/>
    <x v="3"/>
  </r>
  <r>
    <x v="0"/>
    <x v="20"/>
    <x v="20"/>
    <x v="20"/>
    <x v="20"/>
    <x v="20"/>
    <x v="11"/>
    <x v="326"/>
    <x v="28"/>
    <x v="49"/>
    <x v="151"/>
    <x v="140"/>
    <x v="280"/>
    <x v="15"/>
  </r>
  <r>
    <x v="0"/>
    <x v="20"/>
    <x v="20"/>
    <x v="12"/>
    <x v="12"/>
    <x v="12"/>
    <x v="12"/>
    <x v="122"/>
    <x v="283"/>
    <x v="60"/>
    <x v="163"/>
    <x v="148"/>
    <x v="172"/>
    <x v="15"/>
  </r>
  <r>
    <x v="0"/>
    <x v="20"/>
    <x v="20"/>
    <x v="13"/>
    <x v="13"/>
    <x v="13"/>
    <x v="13"/>
    <x v="150"/>
    <x v="284"/>
    <x v="240"/>
    <x v="109"/>
    <x v="256"/>
    <x v="281"/>
    <x v="15"/>
  </r>
  <r>
    <x v="0"/>
    <x v="20"/>
    <x v="20"/>
    <x v="18"/>
    <x v="18"/>
    <x v="18"/>
    <x v="14"/>
    <x v="295"/>
    <x v="285"/>
    <x v="88"/>
    <x v="292"/>
    <x v="247"/>
    <x v="282"/>
    <x v="15"/>
  </r>
  <r>
    <x v="0"/>
    <x v="20"/>
    <x v="20"/>
    <x v="14"/>
    <x v="14"/>
    <x v="14"/>
    <x v="15"/>
    <x v="327"/>
    <x v="162"/>
    <x v="44"/>
    <x v="165"/>
    <x v="299"/>
    <x v="283"/>
    <x v="3"/>
  </r>
  <r>
    <x v="0"/>
    <x v="20"/>
    <x v="20"/>
    <x v="15"/>
    <x v="15"/>
    <x v="15"/>
    <x v="16"/>
    <x v="286"/>
    <x v="38"/>
    <x v="81"/>
    <x v="43"/>
    <x v="300"/>
    <x v="16"/>
    <x v="15"/>
  </r>
  <r>
    <x v="0"/>
    <x v="20"/>
    <x v="20"/>
    <x v="21"/>
    <x v="21"/>
    <x v="21"/>
    <x v="17"/>
    <x v="313"/>
    <x v="286"/>
    <x v="74"/>
    <x v="221"/>
    <x v="272"/>
    <x v="135"/>
    <x v="15"/>
  </r>
  <r>
    <x v="0"/>
    <x v="20"/>
    <x v="20"/>
    <x v="16"/>
    <x v="16"/>
    <x v="16"/>
    <x v="17"/>
    <x v="313"/>
    <x v="286"/>
    <x v="81"/>
    <x v="43"/>
    <x v="246"/>
    <x v="134"/>
    <x v="15"/>
  </r>
  <r>
    <x v="0"/>
    <x v="20"/>
    <x v="20"/>
    <x v="11"/>
    <x v="11"/>
    <x v="11"/>
    <x v="19"/>
    <x v="287"/>
    <x v="237"/>
    <x v="157"/>
    <x v="293"/>
    <x v="301"/>
    <x v="284"/>
    <x v="15"/>
  </r>
  <r>
    <x v="0"/>
    <x v="21"/>
    <x v="21"/>
    <x v="0"/>
    <x v="0"/>
    <x v="0"/>
    <x v="0"/>
    <x v="328"/>
    <x v="240"/>
    <x v="241"/>
    <x v="294"/>
    <x v="302"/>
    <x v="285"/>
    <x v="15"/>
  </r>
  <r>
    <x v="0"/>
    <x v="21"/>
    <x v="21"/>
    <x v="3"/>
    <x v="3"/>
    <x v="3"/>
    <x v="1"/>
    <x v="329"/>
    <x v="287"/>
    <x v="161"/>
    <x v="295"/>
    <x v="192"/>
    <x v="163"/>
    <x v="15"/>
  </r>
  <r>
    <x v="0"/>
    <x v="21"/>
    <x v="21"/>
    <x v="1"/>
    <x v="1"/>
    <x v="1"/>
    <x v="2"/>
    <x v="330"/>
    <x v="288"/>
    <x v="242"/>
    <x v="296"/>
    <x v="182"/>
    <x v="261"/>
    <x v="15"/>
  </r>
  <r>
    <x v="0"/>
    <x v="21"/>
    <x v="21"/>
    <x v="6"/>
    <x v="6"/>
    <x v="6"/>
    <x v="3"/>
    <x v="331"/>
    <x v="229"/>
    <x v="183"/>
    <x v="297"/>
    <x v="303"/>
    <x v="286"/>
    <x v="15"/>
  </r>
  <r>
    <x v="0"/>
    <x v="21"/>
    <x v="21"/>
    <x v="8"/>
    <x v="8"/>
    <x v="8"/>
    <x v="4"/>
    <x v="332"/>
    <x v="289"/>
    <x v="243"/>
    <x v="298"/>
    <x v="304"/>
    <x v="287"/>
    <x v="15"/>
  </r>
  <r>
    <x v="0"/>
    <x v="21"/>
    <x v="21"/>
    <x v="10"/>
    <x v="10"/>
    <x v="10"/>
    <x v="5"/>
    <x v="333"/>
    <x v="24"/>
    <x v="114"/>
    <x v="196"/>
    <x v="305"/>
    <x v="288"/>
    <x v="15"/>
  </r>
  <r>
    <x v="0"/>
    <x v="21"/>
    <x v="21"/>
    <x v="2"/>
    <x v="2"/>
    <x v="2"/>
    <x v="6"/>
    <x v="334"/>
    <x v="24"/>
    <x v="155"/>
    <x v="299"/>
    <x v="306"/>
    <x v="289"/>
    <x v="15"/>
  </r>
  <r>
    <x v="0"/>
    <x v="21"/>
    <x v="21"/>
    <x v="5"/>
    <x v="5"/>
    <x v="5"/>
    <x v="7"/>
    <x v="335"/>
    <x v="290"/>
    <x v="244"/>
    <x v="300"/>
    <x v="117"/>
    <x v="290"/>
    <x v="15"/>
  </r>
  <r>
    <x v="0"/>
    <x v="21"/>
    <x v="21"/>
    <x v="9"/>
    <x v="9"/>
    <x v="9"/>
    <x v="8"/>
    <x v="336"/>
    <x v="291"/>
    <x v="245"/>
    <x v="301"/>
    <x v="122"/>
    <x v="89"/>
    <x v="3"/>
  </r>
  <r>
    <x v="0"/>
    <x v="21"/>
    <x v="21"/>
    <x v="4"/>
    <x v="4"/>
    <x v="4"/>
    <x v="9"/>
    <x v="337"/>
    <x v="292"/>
    <x v="246"/>
    <x v="302"/>
    <x v="258"/>
    <x v="185"/>
    <x v="15"/>
  </r>
  <r>
    <x v="0"/>
    <x v="21"/>
    <x v="21"/>
    <x v="7"/>
    <x v="7"/>
    <x v="7"/>
    <x v="10"/>
    <x v="338"/>
    <x v="82"/>
    <x v="247"/>
    <x v="161"/>
    <x v="246"/>
    <x v="291"/>
    <x v="15"/>
  </r>
  <r>
    <x v="0"/>
    <x v="21"/>
    <x v="21"/>
    <x v="13"/>
    <x v="13"/>
    <x v="13"/>
    <x v="11"/>
    <x v="260"/>
    <x v="29"/>
    <x v="248"/>
    <x v="303"/>
    <x v="146"/>
    <x v="152"/>
    <x v="15"/>
  </r>
  <r>
    <x v="0"/>
    <x v="21"/>
    <x v="21"/>
    <x v="12"/>
    <x v="12"/>
    <x v="12"/>
    <x v="12"/>
    <x v="339"/>
    <x v="69"/>
    <x v="50"/>
    <x v="304"/>
    <x v="307"/>
    <x v="123"/>
    <x v="15"/>
  </r>
  <r>
    <x v="0"/>
    <x v="21"/>
    <x v="21"/>
    <x v="18"/>
    <x v="18"/>
    <x v="18"/>
    <x v="13"/>
    <x v="340"/>
    <x v="234"/>
    <x v="249"/>
    <x v="305"/>
    <x v="308"/>
    <x v="53"/>
    <x v="3"/>
  </r>
  <r>
    <x v="0"/>
    <x v="21"/>
    <x v="21"/>
    <x v="14"/>
    <x v="14"/>
    <x v="14"/>
    <x v="14"/>
    <x v="178"/>
    <x v="234"/>
    <x v="101"/>
    <x v="226"/>
    <x v="309"/>
    <x v="211"/>
    <x v="7"/>
  </r>
  <r>
    <x v="0"/>
    <x v="21"/>
    <x v="21"/>
    <x v="35"/>
    <x v="35"/>
    <x v="35"/>
    <x v="15"/>
    <x v="124"/>
    <x v="17"/>
    <x v="250"/>
    <x v="306"/>
    <x v="310"/>
    <x v="292"/>
    <x v="15"/>
  </r>
  <r>
    <x v="0"/>
    <x v="21"/>
    <x v="21"/>
    <x v="11"/>
    <x v="11"/>
    <x v="11"/>
    <x v="16"/>
    <x v="125"/>
    <x v="293"/>
    <x v="223"/>
    <x v="30"/>
    <x v="311"/>
    <x v="293"/>
    <x v="15"/>
  </r>
  <r>
    <x v="0"/>
    <x v="21"/>
    <x v="21"/>
    <x v="15"/>
    <x v="15"/>
    <x v="15"/>
    <x v="17"/>
    <x v="268"/>
    <x v="294"/>
    <x v="50"/>
    <x v="304"/>
    <x v="58"/>
    <x v="37"/>
    <x v="15"/>
  </r>
  <r>
    <x v="0"/>
    <x v="21"/>
    <x v="21"/>
    <x v="17"/>
    <x v="17"/>
    <x v="17"/>
    <x v="18"/>
    <x v="58"/>
    <x v="237"/>
    <x v="48"/>
    <x v="104"/>
    <x v="157"/>
    <x v="103"/>
    <x v="15"/>
  </r>
  <r>
    <x v="0"/>
    <x v="21"/>
    <x v="21"/>
    <x v="19"/>
    <x v="19"/>
    <x v="19"/>
    <x v="19"/>
    <x v="284"/>
    <x v="89"/>
    <x v="76"/>
    <x v="165"/>
    <x v="160"/>
    <x v="294"/>
    <x v="15"/>
  </r>
  <r>
    <x v="0"/>
    <x v="22"/>
    <x v="22"/>
    <x v="0"/>
    <x v="0"/>
    <x v="0"/>
    <x v="0"/>
    <x v="341"/>
    <x v="295"/>
    <x v="251"/>
    <x v="69"/>
    <x v="312"/>
    <x v="295"/>
    <x v="15"/>
  </r>
  <r>
    <x v="0"/>
    <x v="22"/>
    <x v="22"/>
    <x v="1"/>
    <x v="1"/>
    <x v="1"/>
    <x v="1"/>
    <x v="342"/>
    <x v="296"/>
    <x v="252"/>
    <x v="307"/>
    <x v="235"/>
    <x v="126"/>
    <x v="3"/>
  </r>
  <r>
    <x v="0"/>
    <x v="22"/>
    <x v="22"/>
    <x v="3"/>
    <x v="3"/>
    <x v="3"/>
    <x v="2"/>
    <x v="343"/>
    <x v="297"/>
    <x v="253"/>
    <x v="308"/>
    <x v="313"/>
    <x v="283"/>
    <x v="15"/>
  </r>
  <r>
    <x v="0"/>
    <x v="22"/>
    <x v="22"/>
    <x v="6"/>
    <x v="6"/>
    <x v="6"/>
    <x v="3"/>
    <x v="344"/>
    <x v="298"/>
    <x v="109"/>
    <x v="309"/>
    <x v="314"/>
    <x v="296"/>
    <x v="15"/>
  </r>
  <r>
    <x v="0"/>
    <x v="22"/>
    <x v="22"/>
    <x v="4"/>
    <x v="4"/>
    <x v="4"/>
    <x v="4"/>
    <x v="345"/>
    <x v="299"/>
    <x v="254"/>
    <x v="310"/>
    <x v="315"/>
    <x v="297"/>
    <x v="3"/>
  </r>
  <r>
    <x v="0"/>
    <x v="22"/>
    <x v="22"/>
    <x v="10"/>
    <x v="10"/>
    <x v="10"/>
    <x v="5"/>
    <x v="346"/>
    <x v="300"/>
    <x v="231"/>
    <x v="34"/>
    <x v="316"/>
    <x v="298"/>
    <x v="3"/>
  </r>
  <r>
    <x v="0"/>
    <x v="22"/>
    <x v="22"/>
    <x v="8"/>
    <x v="8"/>
    <x v="8"/>
    <x v="6"/>
    <x v="347"/>
    <x v="301"/>
    <x v="146"/>
    <x v="311"/>
    <x v="317"/>
    <x v="299"/>
    <x v="15"/>
  </r>
  <r>
    <x v="0"/>
    <x v="22"/>
    <x v="22"/>
    <x v="7"/>
    <x v="7"/>
    <x v="7"/>
    <x v="7"/>
    <x v="348"/>
    <x v="302"/>
    <x v="255"/>
    <x v="207"/>
    <x v="205"/>
    <x v="300"/>
    <x v="15"/>
  </r>
  <r>
    <x v="0"/>
    <x v="22"/>
    <x v="22"/>
    <x v="5"/>
    <x v="5"/>
    <x v="5"/>
    <x v="8"/>
    <x v="349"/>
    <x v="223"/>
    <x v="256"/>
    <x v="312"/>
    <x v="318"/>
    <x v="301"/>
    <x v="15"/>
  </r>
  <r>
    <x v="0"/>
    <x v="22"/>
    <x v="22"/>
    <x v="30"/>
    <x v="30"/>
    <x v="30"/>
    <x v="9"/>
    <x v="170"/>
    <x v="245"/>
    <x v="200"/>
    <x v="303"/>
    <x v="143"/>
    <x v="302"/>
    <x v="15"/>
  </r>
  <r>
    <x v="0"/>
    <x v="22"/>
    <x v="22"/>
    <x v="35"/>
    <x v="35"/>
    <x v="35"/>
    <x v="10"/>
    <x v="119"/>
    <x v="303"/>
    <x v="120"/>
    <x v="120"/>
    <x v="319"/>
    <x v="303"/>
    <x v="15"/>
  </r>
  <r>
    <x v="0"/>
    <x v="22"/>
    <x v="22"/>
    <x v="2"/>
    <x v="2"/>
    <x v="2"/>
    <x v="11"/>
    <x v="350"/>
    <x v="304"/>
    <x v="257"/>
    <x v="313"/>
    <x v="239"/>
    <x v="171"/>
    <x v="15"/>
  </r>
  <r>
    <x v="0"/>
    <x v="22"/>
    <x v="22"/>
    <x v="18"/>
    <x v="18"/>
    <x v="18"/>
    <x v="12"/>
    <x v="351"/>
    <x v="51"/>
    <x v="133"/>
    <x v="189"/>
    <x v="124"/>
    <x v="16"/>
    <x v="15"/>
  </r>
  <r>
    <x v="0"/>
    <x v="22"/>
    <x v="22"/>
    <x v="9"/>
    <x v="9"/>
    <x v="9"/>
    <x v="13"/>
    <x v="352"/>
    <x v="186"/>
    <x v="61"/>
    <x v="137"/>
    <x v="282"/>
    <x v="223"/>
    <x v="15"/>
  </r>
  <r>
    <x v="0"/>
    <x v="22"/>
    <x v="22"/>
    <x v="15"/>
    <x v="15"/>
    <x v="15"/>
    <x v="14"/>
    <x v="353"/>
    <x v="74"/>
    <x v="258"/>
    <x v="103"/>
    <x v="320"/>
    <x v="33"/>
    <x v="15"/>
  </r>
  <r>
    <x v="0"/>
    <x v="22"/>
    <x v="22"/>
    <x v="21"/>
    <x v="21"/>
    <x v="21"/>
    <x v="15"/>
    <x v="55"/>
    <x v="36"/>
    <x v="259"/>
    <x v="314"/>
    <x v="321"/>
    <x v="15"/>
    <x v="15"/>
  </r>
  <r>
    <x v="0"/>
    <x v="22"/>
    <x v="22"/>
    <x v="11"/>
    <x v="11"/>
    <x v="11"/>
    <x v="16"/>
    <x v="98"/>
    <x v="199"/>
    <x v="260"/>
    <x v="76"/>
    <x v="273"/>
    <x v="93"/>
    <x v="15"/>
  </r>
  <r>
    <x v="0"/>
    <x v="22"/>
    <x v="22"/>
    <x v="12"/>
    <x v="12"/>
    <x v="12"/>
    <x v="17"/>
    <x v="354"/>
    <x v="200"/>
    <x v="102"/>
    <x v="221"/>
    <x v="177"/>
    <x v="36"/>
    <x v="15"/>
  </r>
  <r>
    <x v="0"/>
    <x v="22"/>
    <x v="22"/>
    <x v="29"/>
    <x v="29"/>
    <x v="29"/>
    <x v="18"/>
    <x v="355"/>
    <x v="201"/>
    <x v="261"/>
    <x v="315"/>
    <x v="162"/>
    <x v="304"/>
    <x v="15"/>
  </r>
  <r>
    <x v="0"/>
    <x v="22"/>
    <x v="22"/>
    <x v="16"/>
    <x v="16"/>
    <x v="16"/>
    <x v="19"/>
    <x v="356"/>
    <x v="286"/>
    <x v="136"/>
    <x v="33"/>
    <x v="212"/>
    <x v="305"/>
    <x v="15"/>
  </r>
  <r>
    <x v="0"/>
    <x v="23"/>
    <x v="23"/>
    <x v="0"/>
    <x v="0"/>
    <x v="0"/>
    <x v="0"/>
    <x v="357"/>
    <x v="305"/>
    <x v="165"/>
    <x v="316"/>
    <x v="322"/>
    <x v="306"/>
    <x v="5"/>
  </r>
  <r>
    <x v="0"/>
    <x v="23"/>
    <x v="23"/>
    <x v="1"/>
    <x v="1"/>
    <x v="1"/>
    <x v="1"/>
    <x v="358"/>
    <x v="306"/>
    <x v="262"/>
    <x v="317"/>
    <x v="323"/>
    <x v="307"/>
    <x v="15"/>
  </r>
  <r>
    <x v="0"/>
    <x v="23"/>
    <x v="23"/>
    <x v="3"/>
    <x v="3"/>
    <x v="3"/>
    <x v="2"/>
    <x v="359"/>
    <x v="307"/>
    <x v="263"/>
    <x v="318"/>
    <x v="166"/>
    <x v="208"/>
    <x v="15"/>
  </r>
  <r>
    <x v="0"/>
    <x v="23"/>
    <x v="23"/>
    <x v="4"/>
    <x v="4"/>
    <x v="4"/>
    <x v="3"/>
    <x v="360"/>
    <x v="308"/>
    <x v="264"/>
    <x v="319"/>
    <x v="324"/>
    <x v="308"/>
    <x v="15"/>
  </r>
  <r>
    <x v="0"/>
    <x v="23"/>
    <x v="23"/>
    <x v="30"/>
    <x v="30"/>
    <x v="30"/>
    <x v="4"/>
    <x v="65"/>
    <x v="152"/>
    <x v="215"/>
    <x v="320"/>
    <x v="204"/>
    <x v="309"/>
    <x v="15"/>
  </r>
  <r>
    <x v="0"/>
    <x v="23"/>
    <x v="23"/>
    <x v="6"/>
    <x v="6"/>
    <x v="6"/>
    <x v="5"/>
    <x v="361"/>
    <x v="301"/>
    <x v="168"/>
    <x v="234"/>
    <x v="325"/>
    <x v="310"/>
    <x v="15"/>
  </r>
  <r>
    <x v="0"/>
    <x v="23"/>
    <x v="23"/>
    <x v="7"/>
    <x v="7"/>
    <x v="7"/>
    <x v="6"/>
    <x v="362"/>
    <x v="292"/>
    <x v="265"/>
    <x v="321"/>
    <x v="205"/>
    <x v="29"/>
    <x v="15"/>
  </r>
  <r>
    <x v="0"/>
    <x v="23"/>
    <x v="23"/>
    <x v="5"/>
    <x v="5"/>
    <x v="5"/>
    <x v="7"/>
    <x v="111"/>
    <x v="196"/>
    <x v="265"/>
    <x v="321"/>
    <x v="326"/>
    <x v="311"/>
    <x v="15"/>
  </r>
  <r>
    <x v="0"/>
    <x v="23"/>
    <x v="23"/>
    <x v="8"/>
    <x v="8"/>
    <x v="8"/>
    <x v="8"/>
    <x v="363"/>
    <x v="309"/>
    <x v="53"/>
    <x v="114"/>
    <x v="327"/>
    <x v="312"/>
    <x v="15"/>
  </r>
  <r>
    <x v="0"/>
    <x v="23"/>
    <x v="23"/>
    <x v="10"/>
    <x v="10"/>
    <x v="10"/>
    <x v="9"/>
    <x v="364"/>
    <x v="114"/>
    <x v="110"/>
    <x v="322"/>
    <x v="328"/>
    <x v="20"/>
    <x v="15"/>
  </r>
  <r>
    <x v="0"/>
    <x v="23"/>
    <x v="23"/>
    <x v="2"/>
    <x v="2"/>
    <x v="2"/>
    <x v="10"/>
    <x v="177"/>
    <x v="30"/>
    <x v="266"/>
    <x v="224"/>
    <x v="329"/>
    <x v="89"/>
    <x v="15"/>
  </r>
  <r>
    <x v="0"/>
    <x v="23"/>
    <x v="23"/>
    <x v="9"/>
    <x v="9"/>
    <x v="9"/>
    <x v="11"/>
    <x v="355"/>
    <x v="276"/>
    <x v="267"/>
    <x v="137"/>
    <x v="330"/>
    <x v="313"/>
    <x v="3"/>
  </r>
  <r>
    <x v="0"/>
    <x v="23"/>
    <x v="23"/>
    <x v="28"/>
    <x v="28"/>
    <x v="28"/>
    <x v="12"/>
    <x v="365"/>
    <x v="15"/>
    <x v="128"/>
    <x v="245"/>
    <x v="181"/>
    <x v="36"/>
    <x v="15"/>
  </r>
  <r>
    <x v="0"/>
    <x v="23"/>
    <x v="23"/>
    <x v="11"/>
    <x v="11"/>
    <x v="11"/>
    <x v="13"/>
    <x v="327"/>
    <x v="310"/>
    <x v="249"/>
    <x v="323"/>
    <x v="331"/>
    <x v="151"/>
    <x v="3"/>
  </r>
  <r>
    <x v="0"/>
    <x v="23"/>
    <x v="23"/>
    <x v="15"/>
    <x v="15"/>
    <x v="15"/>
    <x v="14"/>
    <x v="366"/>
    <x v="54"/>
    <x v="136"/>
    <x v="12"/>
    <x v="332"/>
    <x v="129"/>
    <x v="15"/>
  </r>
  <r>
    <x v="0"/>
    <x v="23"/>
    <x v="23"/>
    <x v="12"/>
    <x v="12"/>
    <x v="12"/>
    <x v="15"/>
    <x v="180"/>
    <x v="311"/>
    <x v="113"/>
    <x v="138"/>
    <x v="125"/>
    <x v="192"/>
    <x v="15"/>
  </r>
  <r>
    <x v="0"/>
    <x v="23"/>
    <x v="23"/>
    <x v="18"/>
    <x v="18"/>
    <x v="18"/>
    <x v="16"/>
    <x v="181"/>
    <x v="36"/>
    <x v="268"/>
    <x v="324"/>
    <x v="117"/>
    <x v="175"/>
    <x v="15"/>
  </r>
  <r>
    <x v="0"/>
    <x v="23"/>
    <x v="23"/>
    <x v="32"/>
    <x v="32"/>
    <x v="32"/>
    <x v="17"/>
    <x v="164"/>
    <x v="137"/>
    <x v="269"/>
    <x v="101"/>
    <x v="273"/>
    <x v="150"/>
    <x v="15"/>
  </r>
  <r>
    <x v="0"/>
    <x v="23"/>
    <x v="23"/>
    <x v="36"/>
    <x v="36"/>
    <x v="36"/>
    <x v="18"/>
    <x v="313"/>
    <x v="236"/>
    <x v="51"/>
    <x v="209"/>
    <x v="151"/>
    <x v="171"/>
    <x v="15"/>
  </r>
  <r>
    <x v="0"/>
    <x v="23"/>
    <x v="23"/>
    <x v="16"/>
    <x v="16"/>
    <x v="16"/>
    <x v="19"/>
    <x v="367"/>
    <x v="179"/>
    <x v="147"/>
    <x v="226"/>
    <x v="127"/>
    <x v="16"/>
    <x v="15"/>
  </r>
  <r>
    <x v="0"/>
    <x v="24"/>
    <x v="24"/>
    <x v="0"/>
    <x v="0"/>
    <x v="0"/>
    <x v="0"/>
    <x v="368"/>
    <x v="312"/>
    <x v="270"/>
    <x v="207"/>
    <x v="333"/>
    <x v="314"/>
    <x v="15"/>
  </r>
  <r>
    <x v="0"/>
    <x v="24"/>
    <x v="24"/>
    <x v="3"/>
    <x v="3"/>
    <x v="3"/>
    <x v="1"/>
    <x v="369"/>
    <x v="313"/>
    <x v="271"/>
    <x v="325"/>
    <x v="313"/>
    <x v="211"/>
    <x v="15"/>
  </r>
  <r>
    <x v="0"/>
    <x v="24"/>
    <x v="24"/>
    <x v="1"/>
    <x v="1"/>
    <x v="1"/>
    <x v="2"/>
    <x v="370"/>
    <x v="314"/>
    <x v="272"/>
    <x v="326"/>
    <x v="160"/>
    <x v="315"/>
    <x v="15"/>
  </r>
  <r>
    <x v="0"/>
    <x v="24"/>
    <x v="24"/>
    <x v="6"/>
    <x v="6"/>
    <x v="6"/>
    <x v="3"/>
    <x v="371"/>
    <x v="315"/>
    <x v="231"/>
    <x v="280"/>
    <x v="334"/>
    <x v="316"/>
    <x v="15"/>
  </r>
  <r>
    <x v="0"/>
    <x v="24"/>
    <x v="24"/>
    <x v="4"/>
    <x v="4"/>
    <x v="4"/>
    <x v="4"/>
    <x v="310"/>
    <x v="316"/>
    <x v="273"/>
    <x v="327"/>
    <x v="335"/>
    <x v="44"/>
    <x v="15"/>
  </r>
  <r>
    <x v="0"/>
    <x v="24"/>
    <x v="24"/>
    <x v="10"/>
    <x v="10"/>
    <x v="10"/>
    <x v="5"/>
    <x v="254"/>
    <x v="141"/>
    <x v="79"/>
    <x v="328"/>
    <x v="100"/>
    <x v="317"/>
    <x v="15"/>
  </r>
  <r>
    <x v="0"/>
    <x v="24"/>
    <x v="24"/>
    <x v="8"/>
    <x v="8"/>
    <x v="8"/>
    <x v="6"/>
    <x v="87"/>
    <x v="317"/>
    <x v="274"/>
    <x v="329"/>
    <x v="336"/>
    <x v="318"/>
    <x v="15"/>
  </r>
  <r>
    <x v="0"/>
    <x v="24"/>
    <x v="24"/>
    <x v="5"/>
    <x v="5"/>
    <x v="5"/>
    <x v="7"/>
    <x v="372"/>
    <x v="6"/>
    <x v="275"/>
    <x v="330"/>
    <x v="130"/>
    <x v="319"/>
    <x v="15"/>
  </r>
  <r>
    <x v="0"/>
    <x v="24"/>
    <x v="24"/>
    <x v="30"/>
    <x v="30"/>
    <x v="30"/>
    <x v="8"/>
    <x v="373"/>
    <x v="244"/>
    <x v="126"/>
    <x v="167"/>
    <x v="107"/>
    <x v="320"/>
    <x v="15"/>
  </r>
  <r>
    <x v="0"/>
    <x v="24"/>
    <x v="24"/>
    <x v="7"/>
    <x v="7"/>
    <x v="7"/>
    <x v="9"/>
    <x v="154"/>
    <x v="144"/>
    <x v="276"/>
    <x v="331"/>
    <x v="154"/>
    <x v="75"/>
    <x v="15"/>
  </r>
  <r>
    <x v="0"/>
    <x v="24"/>
    <x v="24"/>
    <x v="18"/>
    <x v="18"/>
    <x v="18"/>
    <x v="10"/>
    <x v="262"/>
    <x v="246"/>
    <x v="184"/>
    <x v="235"/>
    <x v="337"/>
    <x v="249"/>
    <x v="15"/>
  </r>
  <r>
    <x v="0"/>
    <x v="24"/>
    <x v="24"/>
    <x v="2"/>
    <x v="2"/>
    <x v="2"/>
    <x v="11"/>
    <x v="158"/>
    <x v="172"/>
    <x v="230"/>
    <x v="332"/>
    <x v="187"/>
    <x v="106"/>
    <x v="15"/>
  </r>
  <r>
    <x v="0"/>
    <x v="24"/>
    <x v="24"/>
    <x v="12"/>
    <x v="12"/>
    <x v="12"/>
    <x v="12"/>
    <x v="326"/>
    <x v="174"/>
    <x v="102"/>
    <x v="222"/>
    <x v="338"/>
    <x v="321"/>
    <x v="15"/>
  </r>
  <r>
    <x v="0"/>
    <x v="24"/>
    <x v="24"/>
    <x v="9"/>
    <x v="9"/>
    <x v="9"/>
    <x v="13"/>
    <x v="112"/>
    <x v="176"/>
    <x v="277"/>
    <x v="333"/>
    <x v="67"/>
    <x v="273"/>
    <x v="15"/>
  </r>
  <r>
    <x v="0"/>
    <x v="24"/>
    <x v="24"/>
    <x v="35"/>
    <x v="35"/>
    <x v="35"/>
    <x v="14"/>
    <x v="122"/>
    <x v="73"/>
    <x v="278"/>
    <x v="334"/>
    <x v="339"/>
    <x v="322"/>
    <x v="15"/>
  </r>
  <r>
    <x v="0"/>
    <x v="24"/>
    <x v="24"/>
    <x v="21"/>
    <x v="21"/>
    <x v="21"/>
    <x v="15"/>
    <x v="355"/>
    <x v="162"/>
    <x v="209"/>
    <x v="281"/>
    <x v="340"/>
    <x v="150"/>
    <x v="15"/>
  </r>
  <r>
    <x v="0"/>
    <x v="24"/>
    <x v="24"/>
    <x v="15"/>
    <x v="15"/>
    <x v="15"/>
    <x v="16"/>
    <x v="365"/>
    <x v="102"/>
    <x v="101"/>
    <x v="41"/>
    <x v="341"/>
    <x v="165"/>
    <x v="15"/>
  </r>
  <r>
    <x v="0"/>
    <x v="24"/>
    <x v="24"/>
    <x v="31"/>
    <x v="31"/>
    <x v="31"/>
    <x v="17"/>
    <x v="162"/>
    <x v="137"/>
    <x v="279"/>
    <x v="335"/>
    <x v="198"/>
    <x v="311"/>
    <x v="15"/>
  </r>
  <r>
    <x v="0"/>
    <x v="24"/>
    <x v="24"/>
    <x v="13"/>
    <x v="13"/>
    <x v="13"/>
    <x v="18"/>
    <x v="374"/>
    <x v="38"/>
    <x v="79"/>
    <x v="328"/>
    <x v="158"/>
    <x v="323"/>
    <x v="15"/>
  </r>
  <r>
    <x v="0"/>
    <x v="24"/>
    <x v="24"/>
    <x v="16"/>
    <x v="16"/>
    <x v="16"/>
    <x v="19"/>
    <x v="192"/>
    <x v="236"/>
    <x v="101"/>
    <x v="41"/>
    <x v="122"/>
    <x v="103"/>
    <x v="15"/>
  </r>
  <r>
    <x v="0"/>
    <x v="25"/>
    <x v="25"/>
    <x v="11"/>
    <x v="11"/>
    <x v="11"/>
    <x v="0"/>
    <x v="375"/>
    <x v="318"/>
    <x v="55"/>
    <x v="336"/>
    <x v="342"/>
    <x v="324"/>
    <x v="15"/>
  </r>
  <r>
    <x v="0"/>
    <x v="25"/>
    <x v="25"/>
    <x v="1"/>
    <x v="1"/>
    <x v="1"/>
    <x v="1"/>
    <x v="376"/>
    <x v="319"/>
    <x v="54"/>
    <x v="337"/>
    <x v="343"/>
    <x v="325"/>
    <x v="15"/>
  </r>
  <r>
    <x v="0"/>
    <x v="25"/>
    <x v="25"/>
    <x v="4"/>
    <x v="4"/>
    <x v="4"/>
    <x v="2"/>
    <x v="377"/>
    <x v="320"/>
    <x v="76"/>
    <x v="338"/>
    <x v="310"/>
    <x v="326"/>
    <x v="15"/>
  </r>
  <r>
    <x v="0"/>
    <x v="25"/>
    <x v="25"/>
    <x v="3"/>
    <x v="3"/>
    <x v="3"/>
    <x v="3"/>
    <x v="378"/>
    <x v="321"/>
    <x v="48"/>
    <x v="146"/>
    <x v="344"/>
    <x v="327"/>
    <x v="15"/>
  </r>
  <r>
    <x v="0"/>
    <x v="25"/>
    <x v="25"/>
    <x v="15"/>
    <x v="15"/>
    <x v="15"/>
    <x v="4"/>
    <x v="379"/>
    <x v="322"/>
    <x v="48"/>
    <x v="146"/>
    <x v="339"/>
    <x v="247"/>
    <x v="15"/>
  </r>
  <r>
    <x v="0"/>
    <x v="25"/>
    <x v="25"/>
    <x v="24"/>
    <x v="24"/>
    <x v="24"/>
    <x v="5"/>
    <x v="380"/>
    <x v="255"/>
    <x v="65"/>
    <x v="60"/>
    <x v="345"/>
    <x v="147"/>
    <x v="15"/>
  </r>
  <r>
    <x v="0"/>
    <x v="25"/>
    <x v="25"/>
    <x v="27"/>
    <x v="27"/>
    <x v="27"/>
    <x v="5"/>
    <x v="380"/>
    <x v="255"/>
    <x v="65"/>
    <x v="60"/>
    <x v="345"/>
    <x v="147"/>
    <x v="15"/>
  </r>
  <r>
    <x v="0"/>
    <x v="25"/>
    <x v="25"/>
    <x v="0"/>
    <x v="0"/>
    <x v="0"/>
    <x v="7"/>
    <x v="381"/>
    <x v="175"/>
    <x v="65"/>
    <x v="60"/>
    <x v="346"/>
    <x v="206"/>
    <x v="15"/>
  </r>
  <r>
    <x v="0"/>
    <x v="25"/>
    <x v="25"/>
    <x v="19"/>
    <x v="19"/>
    <x v="19"/>
    <x v="8"/>
    <x v="382"/>
    <x v="56"/>
    <x v="65"/>
    <x v="60"/>
    <x v="347"/>
    <x v="328"/>
    <x v="15"/>
  </r>
  <r>
    <x v="0"/>
    <x v="25"/>
    <x v="25"/>
    <x v="16"/>
    <x v="16"/>
    <x v="16"/>
    <x v="8"/>
    <x v="382"/>
    <x v="56"/>
    <x v="65"/>
    <x v="60"/>
    <x v="347"/>
    <x v="328"/>
    <x v="15"/>
  </r>
  <r>
    <x v="0"/>
    <x v="25"/>
    <x v="25"/>
    <x v="7"/>
    <x v="7"/>
    <x v="7"/>
    <x v="8"/>
    <x v="382"/>
    <x v="56"/>
    <x v="65"/>
    <x v="60"/>
    <x v="347"/>
    <x v="328"/>
    <x v="15"/>
  </r>
  <r>
    <x v="0"/>
    <x v="25"/>
    <x v="25"/>
    <x v="22"/>
    <x v="22"/>
    <x v="22"/>
    <x v="8"/>
    <x v="382"/>
    <x v="56"/>
    <x v="65"/>
    <x v="60"/>
    <x v="347"/>
    <x v="328"/>
    <x v="15"/>
  </r>
  <r>
    <x v="0"/>
    <x v="25"/>
    <x v="25"/>
    <x v="12"/>
    <x v="12"/>
    <x v="12"/>
    <x v="8"/>
    <x v="382"/>
    <x v="56"/>
    <x v="65"/>
    <x v="60"/>
    <x v="347"/>
    <x v="328"/>
    <x v="15"/>
  </r>
  <r>
    <x v="0"/>
    <x v="25"/>
    <x v="25"/>
    <x v="2"/>
    <x v="2"/>
    <x v="2"/>
    <x v="8"/>
    <x v="382"/>
    <x v="56"/>
    <x v="65"/>
    <x v="60"/>
    <x v="347"/>
    <x v="328"/>
    <x v="15"/>
  </r>
  <r>
    <x v="0"/>
    <x v="25"/>
    <x v="25"/>
    <x v="9"/>
    <x v="9"/>
    <x v="9"/>
    <x v="8"/>
    <x v="382"/>
    <x v="56"/>
    <x v="65"/>
    <x v="60"/>
    <x v="347"/>
    <x v="328"/>
    <x v="15"/>
  </r>
  <r>
    <x v="0"/>
    <x v="25"/>
    <x v="25"/>
    <x v="37"/>
    <x v="37"/>
    <x v="37"/>
    <x v="8"/>
    <x v="382"/>
    <x v="56"/>
    <x v="65"/>
    <x v="60"/>
    <x v="347"/>
    <x v="328"/>
    <x v="15"/>
  </r>
  <r>
    <x v="0"/>
    <x v="25"/>
    <x v="25"/>
    <x v="14"/>
    <x v="14"/>
    <x v="14"/>
    <x v="8"/>
    <x v="382"/>
    <x v="56"/>
    <x v="65"/>
    <x v="60"/>
    <x v="347"/>
    <x v="328"/>
    <x v="15"/>
  </r>
  <r>
    <x v="0"/>
    <x v="25"/>
    <x v="25"/>
    <x v="8"/>
    <x v="8"/>
    <x v="8"/>
    <x v="17"/>
    <x v="383"/>
    <x v="323"/>
    <x v="65"/>
    <x v="60"/>
    <x v="348"/>
    <x v="329"/>
    <x v="15"/>
  </r>
  <r>
    <x v="0"/>
    <x v="25"/>
    <x v="25"/>
    <x v="10"/>
    <x v="10"/>
    <x v="10"/>
    <x v="17"/>
    <x v="383"/>
    <x v="323"/>
    <x v="65"/>
    <x v="60"/>
    <x v="348"/>
    <x v="329"/>
    <x v="15"/>
  </r>
  <r>
    <x v="0"/>
    <x v="25"/>
    <x v="25"/>
    <x v="38"/>
    <x v="38"/>
    <x v="38"/>
    <x v="17"/>
    <x v="383"/>
    <x v="323"/>
    <x v="65"/>
    <x v="60"/>
    <x v="348"/>
    <x v="329"/>
    <x v="15"/>
  </r>
  <r>
    <x v="0"/>
    <x v="25"/>
    <x v="25"/>
    <x v="39"/>
    <x v="39"/>
    <x v="39"/>
    <x v="17"/>
    <x v="383"/>
    <x v="323"/>
    <x v="65"/>
    <x v="60"/>
    <x v="348"/>
    <x v="329"/>
    <x v="15"/>
  </r>
  <r>
    <x v="0"/>
    <x v="25"/>
    <x v="25"/>
    <x v="40"/>
    <x v="40"/>
    <x v="40"/>
    <x v="17"/>
    <x v="383"/>
    <x v="323"/>
    <x v="65"/>
    <x v="60"/>
    <x v="348"/>
    <x v="329"/>
    <x v="15"/>
  </r>
  <r>
    <x v="0"/>
    <x v="25"/>
    <x v="25"/>
    <x v="34"/>
    <x v="34"/>
    <x v="34"/>
    <x v="17"/>
    <x v="383"/>
    <x v="323"/>
    <x v="65"/>
    <x v="60"/>
    <x v="348"/>
    <x v="329"/>
    <x v="15"/>
  </r>
  <r>
    <x v="0"/>
    <x v="25"/>
    <x v="25"/>
    <x v="41"/>
    <x v="41"/>
    <x v="41"/>
    <x v="17"/>
    <x v="383"/>
    <x v="323"/>
    <x v="65"/>
    <x v="60"/>
    <x v="348"/>
    <x v="329"/>
    <x v="15"/>
  </r>
  <r>
    <x v="0"/>
    <x v="25"/>
    <x v="25"/>
    <x v="42"/>
    <x v="42"/>
    <x v="42"/>
    <x v="17"/>
    <x v="383"/>
    <x v="323"/>
    <x v="65"/>
    <x v="60"/>
    <x v="348"/>
    <x v="329"/>
    <x v="15"/>
  </r>
  <r>
    <x v="0"/>
    <x v="25"/>
    <x v="25"/>
    <x v="13"/>
    <x v="13"/>
    <x v="13"/>
    <x v="17"/>
    <x v="383"/>
    <x v="323"/>
    <x v="65"/>
    <x v="60"/>
    <x v="348"/>
    <x v="329"/>
    <x v="15"/>
  </r>
  <r>
    <x v="0"/>
    <x v="25"/>
    <x v="25"/>
    <x v="43"/>
    <x v="43"/>
    <x v="43"/>
    <x v="17"/>
    <x v="383"/>
    <x v="323"/>
    <x v="65"/>
    <x v="60"/>
    <x v="348"/>
    <x v="329"/>
    <x v="15"/>
  </r>
  <r>
    <x v="0"/>
    <x v="25"/>
    <x v="25"/>
    <x v="25"/>
    <x v="25"/>
    <x v="25"/>
    <x v="17"/>
    <x v="383"/>
    <x v="323"/>
    <x v="65"/>
    <x v="60"/>
    <x v="348"/>
    <x v="329"/>
    <x v="15"/>
  </r>
  <r>
    <x v="0"/>
    <x v="25"/>
    <x v="25"/>
    <x v="5"/>
    <x v="5"/>
    <x v="5"/>
    <x v="17"/>
    <x v="383"/>
    <x v="323"/>
    <x v="65"/>
    <x v="60"/>
    <x v="348"/>
    <x v="329"/>
    <x v="15"/>
  </r>
  <r>
    <x v="0"/>
    <x v="26"/>
    <x v="26"/>
    <x v="0"/>
    <x v="0"/>
    <x v="0"/>
    <x v="0"/>
    <x v="384"/>
    <x v="324"/>
    <x v="280"/>
    <x v="339"/>
    <x v="349"/>
    <x v="306"/>
    <x v="5"/>
  </r>
  <r>
    <x v="0"/>
    <x v="26"/>
    <x v="26"/>
    <x v="1"/>
    <x v="1"/>
    <x v="1"/>
    <x v="1"/>
    <x v="385"/>
    <x v="325"/>
    <x v="281"/>
    <x v="340"/>
    <x v="122"/>
    <x v="71"/>
    <x v="15"/>
  </r>
  <r>
    <x v="0"/>
    <x v="26"/>
    <x v="26"/>
    <x v="3"/>
    <x v="3"/>
    <x v="3"/>
    <x v="2"/>
    <x v="386"/>
    <x v="326"/>
    <x v="282"/>
    <x v="341"/>
    <x v="299"/>
    <x v="149"/>
    <x v="15"/>
  </r>
  <r>
    <x v="0"/>
    <x v="26"/>
    <x v="26"/>
    <x v="8"/>
    <x v="8"/>
    <x v="8"/>
    <x v="3"/>
    <x v="387"/>
    <x v="166"/>
    <x v="283"/>
    <x v="11"/>
    <x v="42"/>
    <x v="330"/>
    <x v="15"/>
  </r>
  <r>
    <x v="0"/>
    <x v="26"/>
    <x v="26"/>
    <x v="6"/>
    <x v="6"/>
    <x v="6"/>
    <x v="4"/>
    <x v="388"/>
    <x v="327"/>
    <x v="284"/>
    <x v="342"/>
    <x v="350"/>
    <x v="331"/>
    <x v="15"/>
  </r>
  <r>
    <x v="0"/>
    <x v="26"/>
    <x v="26"/>
    <x v="4"/>
    <x v="4"/>
    <x v="4"/>
    <x v="5"/>
    <x v="389"/>
    <x v="328"/>
    <x v="285"/>
    <x v="343"/>
    <x v="351"/>
    <x v="297"/>
    <x v="15"/>
  </r>
  <r>
    <x v="0"/>
    <x v="26"/>
    <x v="26"/>
    <x v="10"/>
    <x v="10"/>
    <x v="10"/>
    <x v="6"/>
    <x v="390"/>
    <x v="329"/>
    <x v="286"/>
    <x v="130"/>
    <x v="352"/>
    <x v="332"/>
    <x v="15"/>
  </r>
  <r>
    <x v="0"/>
    <x v="26"/>
    <x v="26"/>
    <x v="9"/>
    <x v="9"/>
    <x v="9"/>
    <x v="7"/>
    <x v="119"/>
    <x v="192"/>
    <x v="287"/>
    <x v="344"/>
    <x v="186"/>
    <x v="118"/>
    <x v="3"/>
  </r>
  <r>
    <x v="0"/>
    <x v="26"/>
    <x v="26"/>
    <x v="2"/>
    <x v="2"/>
    <x v="2"/>
    <x v="8"/>
    <x v="391"/>
    <x v="210"/>
    <x v="229"/>
    <x v="345"/>
    <x v="144"/>
    <x v="34"/>
    <x v="3"/>
  </r>
  <r>
    <x v="0"/>
    <x v="26"/>
    <x v="26"/>
    <x v="5"/>
    <x v="5"/>
    <x v="5"/>
    <x v="8"/>
    <x v="391"/>
    <x v="210"/>
    <x v="288"/>
    <x v="346"/>
    <x v="119"/>
    <x v="333"/>
    <x v="15"/>
  </r>
  <r>
    <x v="0"/>
    <x v="26"/>
    <x v="26"/>
    <x v="7"/>
    <x v="7"/>
    <x v="7"/>
    <x v="10"/>
    <x v="173"/>
    <x v="157"/>
    <x v="289"/>
    <x v="347"/>
    <x v="275"/>
    <x v="132"/>
    <x v="15"/>
  </r>
  <r>
    <x v="0"/>
    <x v="26"/>
    <x v="26"/>
    <x v="18"/>
    <x v="18"/>
    <x v="18"/>
    <x v="11"/>
    <x v="340"/>
    <x v="304"/>
    <x v="290"/>
    <x v="348"/>
    <x v="183"/>
    <x v="51"/>
    <x v="15"/>
  </r>
  <r>
    <x v="0"/>
    <x v="26"/>
    <x v="26"/>
    <x v="13"/>
    <x v="13"/>
    <x v="13"/>
    <x v="12"/>
    <x v="392"/>
    <x v="330"/>
    <x v="211"/>
    <x v="349"/>
    <x v="353"/>
    <x v="250"/>
    <x v="15"/>
  </r>
  <r>
    <x v="0"/>
    <x v="26"/>
    <x v="26"/>
    <x v="12"/>
    <x v="12"/>
    <x v="12"/>
    <x v="13"/>
    <x v="393"/>
    <x v="119"/>
    <x v="137"/>
    <x v="85"/>
    <x v="337"/>
    <x v="334"/>
    <x v="15"/>
  </r>
  <r>
    <x v="0"/>
    <x v="26"/>
    <x v="26"/>
    <x v="11"/>
    <x v="11"/>
    <x v="11"/>
    <x v="14"/>
    <x v="394"/>
    <x v="186"/>
    <x v="291"/>
    <x v="350"/>
    <x v="354"/>
    <x v="111"/>
    <x v="15"/>
  </r>
  <r>
    <x v="0"/>
    <x v="26"/>
    <x v="26"/>
    <x v="16"/>
    <x v="16"/>
    <x v="16"/>
    <x v="15"/>
    <x v="395"/>
    <x v="310"/>
    <x v="54"/>
    <x v="184"/>
    <x v="187"/>
    <x v="105"/>
    <x v="15"/>
  </r>
  <r>
    <x v="0"/>
    <x v="26"/>
    <x v="26"/>
    <x v="44"/>
    <x v="44"/>
    <x v="44"/>
    <x v="16"/>
    <x v="396"/>
    <x v="36"/>
    <x v="76"/>
    <x v="223"/>
    <x v="300"/>
    <x v="116"/>
    <x v="5"/>
  </r>
  <r>
    <x v="0"/>
    <x v="26"/>
    <x v="26"/>
    <x v="14"/>
    <x v="14"/>
    <x v="14"/>
    <x v="17"/>
    <x v="130"/>
    <x v="286"/>
    <x v="54"/>
    <x v="184"/>
    <x v="102"/>
    <x v="264"/>
    <x v="5"/>
  </r>
  <r>
    <x v="0"/>
    <x v="26"/>
    <x v="26"/>
    <x v="27"/>
    <x v="27"/>
    <x v="27"/>
    <x v="18"/>
    <x v="298"/>
    <x v="331"/>
    <x v="100"/>
    <x v="196"/>
    <x v="355"/>
    <x v="205"/>
    <x v="3"/>
  </r>
  <r>
    <x v="0"/>
    <x v="26"/>
    <x v="26"/>
    <x v="15"/>
    <x v="15"/>
    <x v="15"/>
    <x v="19"/>
    <x v="397"/>
    <x v="237"/>
    <x v="103"/>
    <x v="351"/>
    <x v="356"/>
    <x v="252"/>
    <x v="3"/>
  </r>
  <r>
    <x v="0"/>
    <x v="27"/>
    <x v="27"/>
    <x v="0"/>
    <x v="0"/>
    <x v="0"/>
    <x v="0"/>
    <x v="398"/>
    <x v="332"/>
    <x v="292"/>
    <x v="230"/>
    <x v="357"/>
    <x v="335"/>
    <x v="15"/>
  </r>
  <r>
    <x v="0"/>
    <x v="27"/>
    <x v="27"/>
    <x v="1"/>
    <x v="1"/>
    <x v="1"/>
    <x v="1"/>
    <x v="338"/>
    <x v="333"/>
    <x v="227"/>
    <x v="352"/>
    <x v="131"/>
    <x v="336"/>
    <x v="15"/>
  </r>
  <r>
    <x v="0"/>
    <x v="27"/>
    <x v="27"/>
    <x v="3"/>
    <x v="3"/>
    <x v="3"/>
    <x v="2"/>
    <x v="399"/>
    <x v="334"/>
    <x v="293"/>
    <x v="326"/>
    <x v="358"/>
    <x v="337"/>
    <x v="15"/>
  </r>
  <r>
    <x v="0"/>
    <x v="27"/>
    <x v="27"/>
    <x v="4"/>
    <x v="4"/>
    <x v="4"/>
    <x v="3"/>
    <x v="400"/>
    <x v="335"/>
    <x v="107"/>
    <x v="145"/>
    <x v="359"/>
    <x v="338"/>
    <x v="15"/>
  </r>
  <r>
    <x v="0"/>
    <x v="27"/>
    <x v="27"/>
    <x v="2"/>
    <x v="2"/>
    <x v="2"/>
    <x v="4"/>
    <x v="401"/>
    <x v="230"/>
    <x v="294"/>
    <x v="353"/>
    <x v="330"/>
    <x v="339"/>
    <x v="15"/>
  </r>
  <r>
    <x v="0"/>
    <x v="27"/>
    <x v="27"/>
    <x v="8"/>
    <x v="8"/>
    <x v="8"/>
    <x v="5"/>
    <x v="193"/>
    <x v="299"/>
    <x v="136"/>
    <x v="34"/>
    <x v="209"/>
    <x v="340"/>
    <x v="15"/>
  </r>
  <r>
    <x v="0"/>
    <x v="27"/>
    <x v="27"/>
    <x v="5"/>
    <x v="5"/>
    <x v="5"/>
    <x v="6"/>
    <x v="402"/>
    <x v="336"/>
    <x v="295"/>
    <x v="2"/>
    <x v="360"/>
    <x v="290"/>
    <x v="15"/>
  </r>
  <r>
    <x v="0"/>
    <x v="27"/>
    <x v="27"/>
    <x v="7"/>
    <x v="7"/>
    <x v="7"/>
    <x v="7"/>
    <x v="403"/>
    <x v="337"/>
    <x v="296"/>
    <x v="354"/>
    <x v="244"/>
    <x v="341"/>
    <x v="15"/>
  </r>
  <r>
    <x v="0"/>
    <x v="27"/>
    <x v="27"/>
    <x v="9"/>
    <x v="9"/>
    <x v="9"/>
    <x v="7"/>
    <x v="403"/>
    <x v="337"/>
    <x v="292"/>
    <x v="230"/>
    <x v="281"/>
    <x v="11"/>
    <x v="3"/>
  </r>
  <r>
    <x v="0"/>
    <x v="27"/>
    <x v="27"/>
    <x v="6"/>
    <x v="6"/>
    <x v="6"/>
    <x v="9"/>
    <x v="404"/>
    <x v="155"/>
    <x v="127"/>
    <x v="355"/>
    <x v="186"/>
    <x v="342"/>
    <x v="15"/>
  </r>
  <r>
    <x v="0"/>
    <x v="27"/>
    <x v="27"/>
    <x v="10"/>
    <x v="10"/>
    <x v="10"/>
    <x v="10"/>
    <x v="397"/>
    <x v="338"/>
    <x v="74"/>
    <x v="356"/>
    <x v="196"/>
    <x v="343"/>
    <x v="15"/>
  </r>
  <r>
    <x v="0"/>
    <x v="27"/>
    <x v="27"/>
    <x v="11"/>
    <x v="11"/>
    <x v="11"/>
    <x v="11"/>
    <x v="405"/>
    <x v="223"/>
    <x v="136"/>
    <x v="34"/>
    <x v="361"/>
    <x v="197"/>
    <x v="15"/>
  </r>
  <r>
    <x v="0"/>
    <x v="27"/>
    <x v="27"/>
    <x v="13"/>
    <x v="13"/>
    <x v="13"/>
    <x v="12"/>
    <x v="406"/>
    <x v="50"/>
    <x v="269"/>
    <x v="357"/>
    <x v="119"/>
    <x v="133"/>
    <x v="15"/>
  </r>
  <r>
    <x v="0"/>
    <x v="27"/>
    <x v="27"/>
    <x v="12"/>
    <x v="12"/>
    <x v="12"/>
    <x v="13"/>
    <x v="407"/>
    <x v="51"/>
    <x v="45"/>
    <x v="358"/>
    <x v="358"/>
    <x v="337"/>
    <x v="15"/>
  </r>
  <r>
    <x v="0"/>
    <x v="27"/>
    <x v="27"/>
    <x v="14"/>
    <x v="14"/>
    <x v="14"/>
    <x v="14"/>
    <x v="408"/>
    <x v="276"/>
    <x v="66"/>
    <x v="359"/>
    <x v="362"/>
    <x v="344"/>
    <x v="7"/>
  </r>
  <r>
    <x v="0"/>
    <x v="27"/>
    <x v="27"/>
    <x v="16"/>
    <x v="16"/>
    <x v="16"/>
    <x v="15"/>
    <x v="409"/>
    <x v="53"/>
    <x v="48"/>
    <x v="360"/>
    <x v="296"/>
    <x v="70"/>
    <x v="15"/>
  </r>
  <r>
    <x v="0"/>
    <x v="27"/>
    <x v="27"/>
    <x v="18"/>
    <x v="18"/>
    <x v="18"/>
    <x v="16"/>
    <x v="410"/>
    <x v="234"/>
    <x v="110"/>
    <x v="361"/>
    <x v="363"/>
    <x v="345"/>
    <x v="15"/>
  </r>
  <r>
    <x v="0"/>
    <x v="27"/>
    <x v="27"/>
    <x v="17"/>
    <x v="17"/>
    <x v="17"/>
    <x v="17"/>
    <x v="411"/>
    <x v="38"/>
    <x v="66"/>
    <x v="359"/>
    <x v="364"/>
    <x v="7"/>
    <x v="15"/>
  </r>
  <r>
    <x v="0"/>
    <x v="27"/>
    <x v="27"/>
    <x v="44"/>
    <x v="44"/>
    <x v="44"/>
    <x v="18"/>
    <x v="412"/>
    <x v="179"/>
    <x v="48"/>
    <x v="360"/>
    <x v="365"/>
    <x v="9"/>
    <x v="15"/>
  </r>
  <r>
    <x v="0"/>
    <x v="27"/>
    <x v="27"/>
    <x v="15"/>
    <x v="15"/>
    <x v="15"/>
    <x v="19"/>
    <x v="413"/>
    <x v="122"/>
    <x v="147"/>
    <x v="194"/>
    <x v="366"/>
    <x v="323"/>
    <x v="15"/>
  </r>
  <r>
    <x v="0"/>
    <x v="28"/>
    <x v="28"/>
    <x v="0"/>
    <x v="0"/>
    <x v="0"/>
    <x v="0"/>
    <x v="414"/>
    <x v="339"/>
    <x v="297"/>
    <x v="362"/>
    <x v="63"/>
    <x v="346"/>
    <x v="15"/>
  </r>
  <r>
    <x v="0"/>
    <x v="28"/>
    <x v="28"/>
    <x v="1"/>
    <x v="1"/>
    <x v="1"/>
    <x v="1"/>
    <x v="415"/>
    <x v="340"/>
    <x v="275"/>
    <x v="363"/>
    <x v="268"/>
    <x v="21"/>
    <x v="3"/>
  </r>
  <r>
    <x v="0"/>
    <x v="28"/>
    <x v="28"/>
    <x v="3"/>
    <x v="3"/>
    <x v="3"/>
    <x v="2"/>
    <x v="416"/>
    <x v="341"/>
    <x v="298"/>
    <x v="364"/>
    <x v="367"/>
    <x v="4"/>
    <x v="15"/>
  </r>
  <r>
    <x v="0"/>
    <x v="28"/>
    <x v="28"/>
    <x v="4"/>
    <x v="4"/>
    <x v="4"/>
    <x v="3"/>
    <x v="95"/>
    <x v="342"/>
    <x v="222"/>
    <x v="365"/>
    <x v="210"/>
    <x v="80"/>
    <x v="15"/>
  </r>
  <r>
    <x v="0"/>
    <x v="28"/>
    <x v="28"/>
    <x v="2"/>
    <x v="2"/>
    <x v="2"/>
    <x v="4"/>
    <x v="417"/>
    <x v="343"/>
    <x v="210"/>
    <x v="366"/>
    <x v="246"/>
    <x v="2"/>
    <x v="3"/>
  </r>
  <r>
    <x v="0"/>
    <x v="28"/>
    <x v="28"/>
    <x v="5"/>
    <x v="5"/>
    <x v="5"/>
    <x v="5"/>
    <x v="245"/>
    <x v="344"/>
    <x v="299"/>
    <x v="367"/>
    <x v="152"/>
    <x v="347"/>
    <x v="15"/>
  </r>
  <r>
    <x v="0"/>
    <x v="28"/>
    <x v="28"/>
    <x v="9"/>
    <x v="9"/>
    <x v="9"/>
    <x v="6"/>
    <x v="418"/>
    <x v="279"/>
    <x v="156"/>
    <x v="368"/>
    <x v="248"/>
    <x v="64"/>
    <x v="15"/>
  </r>
  <r>
    <x v="0"/>
    <x v="28"/>
    <x v="28"/>
    <x v="11"/>
    <x v="11"/>
    <x v="11"/>
    <x v="7"/>
    <x v="295"/>
    <x v="345"/>
    <x v="274"/>
    <x v="369"/>
    <x v="368"/>
    <x v="348"/>
    <x v="15"/>
  </r>
  <r>
    <x v="0"/>
    <x v="28"/>
    <x v="28"/>
    <x v="12"/>
    <x v="12"/>
    <x v="12"/>
    <x v="8"/>
    <x v="298"/>
    <x v="346"/>
    <x v="56"/>
    <x v="180"/>
    <x v="127"/>
    <x v="349"/>
    <x v="15"/>
  </r>
  <r>
    <x v="0"/>
    <x v="28"/>
    <x v="28"/>
    <x v="7"/>
    <x v="7"/>
    <x v="7"/>
    <x v="9"/>
    <x v="404"/>
    <x v="273"/>
    <x v="128"/>
    <x v="370"/>
    <x v="358"/>
    <x v="350"/>
    <x v="15"/>
  </r>
  <r>
    <x v="0"/>
    <x v="28"/>
    <x v="28"/>
    <x v="8"/>
    <x v="8"/>
    <x v="8"/>
    <x v="10"/>
    <x v="419"/>
    <x v="70"/>
    <x v="54"/>
    <x v="28"/>
    <x v="280"/>
    <x v="12"/>
    <x v="15"/>
  </r>
  <r>
    <x v="0"/>
    <x v="28"/>
    <x v="28"/>
    <x v="13"/>
    <x v="13"/>
    <x v="13"/>
    <x v="11"/>
    <x v="318"/>
    <x v="347"/>
    <x v="89"/>
    <x v="234"/>
    <x v="364"/>
    <x v="106"/>
    <x v="15"/>
  </r>
  <r>
    <x v="0"/>
    <x v="28"/>
    <x v="28"/>
    <x v="14"/>
    <x v="14"/>
    <x v="14"/>
    <x v="12"/>
    <x v="420"/>
    <x v="16"/>
    <x v="48"/>
    <x v="225"/>
    <x v="249"/>
    <x v="213"/>
    <x v="3"/>
  </r>
  <r>
    <x v="0"/>
    <x v="28"/>
    <x v="28"/>
    <x v="19"/>
    <x v="19"/>
    <x v="19"/>
    <x v="13"/>
    <x v="421"/>
    <x v="293"/>
    <x v="55"/>
    <x v="106"/>
    <x v="285"/>
    <x v="35"/>
    <x v="15"/>
  </r>
  <r>
    <x v="0"/>
    <x v="28"/>
    <x v="28"/>
    <x v="17"/>
    <x v="17"/>
    <x v="17"/>
    <x v="14"/>
    <x v="422"/>
    <x v="200"/>
    <x v="66"/>
    <x v="17"/>
    <x v="290"/>
    <x v="351"/>
    <x v="3"/>
  </r>
  <r>
    <x v="0"/>
    <x v="28"/>
    <x v="28"/>
    <x v="6"/>
    <x v="6"/>
    <x v="6"/>
    <x v="15"/>
    <x v="423"/>
    <x v="178"/>
    <x v="101"/>
    <x v="268"/>
    <x v="369"/>
    <x v="251"/>
    <x v="15"/>
  </r>
  <r>
    <x v="0"/>
    <x v="28"/>
    <x v="28"/>
    <x v="27"/>
    <x v="27"/>
    <x v="27"/>
    <x v="16"/>
    <x v="411"/>
    <x v="105"/>
    <x v="63"/>
    <x v="153"/>
    <x v="370"/>
    <x v="352"/>
    <x v="15"/>
  </r>
  <r>
    <x v="0"/>
    <x v="28"/>
    <x v="28"/>
    <x v="18"/>
    <x v="18"/>
    <x v="18"/>
    <x v="17"/>
    <x v="424"/>
    <x v="248"/>
    <x v="136"/>
    <x v="371"/>
    <x v="360"/>
    <x v="353"/>
    <x v="15"/>
  </r>
  <r>
    <x v="0"/>
    <x v="28"/>
    <x v="28"/>
    <x v="10"/>
    <x v="10"/>
    <x v="10"/>
    <x v="18"/>
    <x v="425"/>
    <x v="348"/>
    <x v="76"/>
    <x v="117"/>
    <x v="371"/>
    <x v="199"/>
    <x v="15"/>
  </r>
  <r>
    <x v="0"/>
    <x v="28"/>
    <x v="28"/>
    <x v="44"/>
    <x v="44"/>
    <x v="44"/>
    <x v="19"/>
    <x v="426"/>
    <x v="349"/>
    <x v="65"/>
    <x v="60"/>
    <x v="366"/>
    <x v="354"/>
    <x v="15"/>
  </r>
  <r>
    <x v="0"/>
    <x v="29"/>
    <x v="29"/>
    <x v="0"/>
    <x v="0"/>
    <x v="0"/>
    <x v="0"/>
    <x v="427"/>
    <x v="350"/>
    <x v="300"/>
    <x v="372"/>
    <x v="372"/>
    <x v="355"/>
    <x v="15"/>
  </r>
  <r>
    <x v="0"/>
    <x v="29"/>
    <x v="29"/>
    <x v="1"/>
    <x v="1"/>
    <x v="1"/>
    <x v="1"/>
    <x v="428"/>
    <x v="351"/>
    <x v="122"/>
    <x v="373"/>
    <x v="369"/>
    <x v="149"/>
    <x v="15"/>
  </r>
  <r>
    <x v="0"/>
    <x v="29"/>
    <x v="29"/>
    <x v="3"/>
    <x v="3"/>
    <x v="3"/>
    <x v="2"/>
    <x v="429"/>
    <x v="352"/>
    <x v="229"/>
    <x v="374"/>
    <x v="373"/>
    <x v="356"/>
    <x v="15"/>
  </r>
  <r>
    <x v="0"/>
    <x v="29"/>
    <x v="29"/>
    <x v="8"/>
    <x v="8"/>
    <x v="8"/>
    <x v="3"/>
    <x v="204"/>
    <x v="353"/>
    <x v="103"/>
    <x v="311"/>
    <x v="205"/>
    <x v="357"/>
    <x v="15"/>
  </r>
  <r>
    <x v="0"/>
    <x v="29"/>
    <x v="29"/>
    <x v="2"/>
    <x v="2"/>
    <x v="2"/>
    <x v="4"/>
    <x v="130"/>
    <x v="24"/>
    <x v="211"/>
    <x v="127"/>
    <x v="374"/>
    <x v="358"/>
    <x v="15"/>
  </r>
  <r>
    <x v="0"/>
    <x v="29"/>
    <x v="29"/>
    <x v="6"/>
    <x v="6"/>
    <x v="6"/>
    <x v="5"/>
    <x v="430"/>
    <x v="111"/>
    <x v="158"/>
    <x v="252"/>
    <x v="173"/>
    <x v="359"/>
    <x v="15"/>
  </r>
  <r>
    <x v="0"/>
    <x v="29"/>
    <x v="29"/>
    <x v="4"/>
    <x v="4"/>
    <x v="4"/>
    <x v="6"/>
    <x v="431"/>
    <x v="337"/>
    <x v="259"/>
    <x v="375"/>
    <x v="249"/>
    <x v="360"/>
    <x v="15"/>
  </r>
  <r>
    <x v="0"/>
    <x v="29"/>
    <x v="29"/>
    <x v="5"/>
    <x v="5"/>
    <x v="5"/>
    <x v="7"/>
    <x v="210"/>
    <x v="168"/>
    <x v="301"/>
    <x v="132"/>
    <x v="375"/>
    <x v="361"/>
    <x v="15"/>
  </r>
  <r>
    <x v="0"/>
    <x v="29"/>
    <x v="29"/>
    <x v="9"/>
    <x v="9"/>
    <x v="9"/>
    <x v="8"/>
    <x v="432"/>
    <x v="354"/>
    <x v="90"/>
    <x v="99"/>
    <x v="370"/>
    <x v="214"/>
    <x v="15"/>
  </r>
  <r>
    <x v="0"/>
    <x v="29"/>
    <x v="29"/>
    <x v="7"/>
    <x v="7"/>
    <x v="7"/>
    <x v="9"/>
    <x v="407"/>
    <x v="133"/>
    <x v="37"/>
    <x v="233"/>
    <x v="376"/>
    <x v="89"/>
    <x v="15"/>
  </r>
  <r>
    <x v="0"/>
    <x v="29"/>
    <x v="29"/>
    <x v="44"/>
    <x v="44"/>
    <x v="44"/>
    <x v="10"/>
    <x v="420"/>
    <x v="173"/>
    <x v="66"/>
    <x v="359"/>
    <x v="129"/>
    <x v="362"/>
    <x v="15"/>
  </r>
  <r>
    <x v="0"/>
    <x v="29"/>
    <x v="29"/>
    <x v="10"/>
    <x v="10"/>
    <x v="10"/>
    <x v="11"/>
    <x v="433"/>
    <x v="355"/>
    <x v="47"/>
    <x v="163"/>
    <x v="241"/>
    <x v="363"/>
    <x v="15"/>
  </r>
  <r>
    <x v="0"/>
    <x v="29"/>
    <x v="29"/>
    <x v="13"/>
    <x v="13"/>
    <x v="13"/>
    <x v="12"/>
    <x v="422"/>
    <x v="174"/>
    <x v="113"/>
    <x v="298"/>
    <x v="365"/>
    <x v="164"/>
    <x v="15"/>
  </r>
  <r>
    <x v="0"/>
    <x v="29"/>
    <x v="29"/>
    <x v="12"/>
    <x v="12"/>
    <x v="12"/>
    <x v="13"/>
    <x v="434"/>
    <x v="284"/>
    <x v="44"/>
    <x v="376"/>
    <x v="377"/>
    <x v="68"/>
    <x v="15"/>
  </r>
  <r>
    <x v="0"/>
    <x v="29"/>
    <x v="29"/>
    <x v="14"/>
    <x v="14"/>
    <x v="14"/>
    <x v="14"/>
    <x v="435"/>
    <x v="234"/>
    <x v="48"/>
    <x v="360"/>
    <x v="378"/>
    <x v="173"/>
    <x v="15"/>
  </r>
  <r>
    <x v="0"/>
    <x v="29"/>
    <x v="29"/>
    <x v="17"/>
    <x v="17"/>
    <x v="17"/>
    <x v="15"/>
    <x v="436"/>
    <x v="137"/>
    <x v="66"/>
    <x v="359"/>
    <x v="379"/>
    <x v="206"/>
    <x v="15"/>
  </r>
  <r>
    <x v="0"/>
    <x v="29"/>
    <x v="29"/>
    <x v="35"/>
    <x v="35"/>
    <x v="35"/>
    <x v="16"/>
    <x v="437"/>
    <x v="248"/>
    <x v="51"/>
    <x v="377"/>
    <x v="347"/>
    <x v="303"/>
    <x v="15"/>
  </r>
  <r>
    <x v="0"/>
    <x v="29"/>
    <x v="29"/>
    <x v="18"/>
    <x v="18"/>
    <x v="18"/>
    <x v="17"/>
    <x v="438"/>
    <x v="356"/>
    <x v="74"/>
    <x v="371"/>
    <x v="380"/>
    <x v="364"/>
    <x v="15"/>
  </r>
  <r>
    <x v="0"/>
    <x v="29"/>
    <x v="29"/>
    <x v="11"/>
    <x v="11"/>
    <x v="11"/>
    <x v="18"/>
    <x v="439"/>
    <x v="357"/>
    <x v="137"/>
    <x v="328"/>
    <x v="380"/>
    <x v="364"/>
    <x v="15"/>
  </r>
  <r>
    <x v="0"/>
    <x v="29"/>
    <x v="29"/>
    <x v="21"/>
    <x v="21"/>
    <x v="21"/>
    <x v="19"/>
    <x v="440"/>
    <x v="358"/>
    <x v="44"/>
    <x v="376"/>
    <x v="381"/>
    <x v="365"/>
    <x v="15"/>
  </r>
  <r>
    <x v="0"/>
    <x v="29"/>
    <x v="29"/>
    <x v="16"/>
    <x v="16"/>
    <x v="16"/>
    <x v="19"/>
    <x v="440"/>
    <x v="358"/>
    <x v="48"/>
    <x v="360"/>
    <x v="382"/>
    <x v="225"/>
    <x v="15"/>
  </r>
  <r>
    <x v="0"/>
    <x v="30"/>
    <x v="30"/>
    <x v="1"/>
    <x v="1"/>
    <x v="1"/>
    <x v="0"/>
    <x v="54"/>
    <x v="359"/>
    <x v="287"/>
    <x v="378"/>
    <x v="342"/>
    <x v="51"/>
    <x v="3"/>
  </r>
  <r>
    <x v="0"/>
    <x v="30"/>
    <x v="30"/>
    <x v="3"/>
    <x v="3"/>
    <x v="3"/>
    <x v="1"/>
    <x v="428"/>
    <x v="139"/>
    <x v="302"/>
    <x v="379"/>
    <x v="383"/>
    <x v="48"/>
    <x v="15"/>
  </r>
  <r>
    <x v="0"/>
    <x v="30"/>
    <x v="30"/>
    <x v="8"/>
    <x v="8"/>
    <x v="8"/>
    <x v="2"/>
    <x v="441"/>
    <x v="360"/>
    <x v="201"/>
    <x v="380"/>
    <x v="384"/>
    <x v="266"/>
    <x v="15"/>
  </r>
  <r>
    <x v="0"/>
    <x v="30"/>
    <x v="30"/>
    <x v="0"/>
    <x v="0"/>
    <x v="0"/>
    <x v="3"/>
    <x v="442"/>
    <x v="361"/>
    <x v="110"/>
    <x v="381"/>
    <x v="196"/>
    <x v="366"/>
    <x v="3"/>
  </r>
  <r>
    <x v="0"/>
    <x v="30"/>
    <x v="30"/>
    <x v="6"/>
    <x v="6"/>
    <x v="6"/>
    <x v="4"/>
    <x v="443"/>
    <x v="362"/>
    <x v="248"/>
    <x v="261"/>
    <x v="241"/>
    <x v="367"/>
    <x v="15"/>
  </r>
  <r>
    <x v="0"/>
    <x v="30"/>
    <x v="30"/>
    <x v="4"/>
    <x v="4"/>
    <x v="4"/>
    <x v="5"/>
    <x v="444"/>
    <x v="363"/>
    <x v="67"/>
    <x v="382"/>
    <x v="278"/>
    <x v="368"/>
    <x v="15"/>
  </r>
  <r>
    <x v="0"/>
    <x v="30"/>
    <x v="30"/>
    <x v="7"/>
    <x v="7"/>
    <x v="7"/>
    <x v="6"/>
    <x v="445"/>
    <x v="364"/>
    <x v="67"/>
    <x v="382"/>
    <x v="385"/>
    <x v="214"/>
    <x v="15"/>
  </r>
  <r>
    <x v="0"/>
    <x v="30"/>
    <x v="30"/>
    <x v="10"/>
    <x v="10"/>
    <x v="10"/>
    <x v="7"/>
    <x v="446"/>
    <x v="302"/>
    <x v="199"/>
    <x v="217"/>
    <x v="290"/>
    <x v="369"/>
    <x v="15"/>
  </r>
  <r>
    <x v="0"/>
    <x v="30"/>
    <x v="30"/>
    <x v="9"/>
    <x v="9"/>
    <x v="9"/>
    <x v="8"/>
    <x v="447"/>
    <x v="209"/>
    <x v="291"/>
    <x v="383"/>
    <x v="382"/>
    <x v="262"/>
    <x v="15"/>
  </r>
  <r>
    <x v="0"/>
    <x v="30"/>
    <x v="30"/>
    <x v="5"/>
    <x v="5"/>
    <x v="5"/>
    <x v="9"/>
    <x v="448"/>
    <x v="365"/>
    <x v="146"/>
    <x v="384"/>
    <x v="386"/>
    <x v="370"/>
    <x v="15"/>
  </r>
  <r>
    <x v="0"/>
    <x v="30"/>
    <x v="30"/>
    <x v="18"/>
    <x v="18"/>
    <x v="18"/>
    <x v="10"/>
    <x v="449"/>
    <x v="366"/>
    <x v="224"/>
    <x v="385"/>
    <x v="387"/>
    <x v="27"/>
    <x v="15"/>
  </r>
  <r>
    <x v="0"/>
    <x v="30"/>
    <x v="30"/>
    <x v="2"/>
    <x v="2"/>
    <x v="2"/>
    <x v="11"/>
    <x v="450"/>
    <x v="34"/>
    <x v="199"/>
    <x v="217"/>
    <x v="381"/>
    <x v="294"/>
    <x v="15"/>
  </r>
  <r>
    <x v="0"/>
    <x v="30"/>
    <x v="30"/>
    <x v="13"/>
    <x v="13"/>
    <x v="13"/>
    <x v="12"/>
    <x v="451"/>
    <x v="52"/>
    <x v="127"/>
    <x v="293"/>
    <x v="342"/>
    <x v="51"/>
    <x v="15"/>
  </r>
  <r>
    <x v="0"/>
    <x v="30"/>
    <x v="30"/>
    <x v="32"/>
    <x v="32"/>
    <x v="32"/>
    <x v="13"/>
    <x v="436"/>
    <x v="161"/>
    <x v="147"/>
    <x v="288"/>
    <x v="289"/>
    <x v="67"/>
    <x v="15"/>
  </r>
  <r>
    <x v="0"/>
    <x v="30"/>
    <x v="30"/>
    <x v="30"/>
    <x v="30"/>
    <x v="30"/>
    <x v="14"/>
    <x v="452"/>
    <x v="367"/>
    <x v="78"/>
    <x v="75"/>
    <x v="342"/>
    <x v="51"/>
    <x v="15"/>
  </r>
  <r>
    <x v="0"/>
    <x v="30"/>
    <x v="30"/>
    <x v="11"/>
    <x v="11"/>
    <x v="11"/>
    <x v="15"/>
    <x v="426"/>
    <x v="36"/>
    <x v="102"/>
    <x v="349"/>
    <x v="388"/>
    <x v="371"/>
    <x v="15"/>
  </r>
  <r>
    <x v="0"/>
    <x v="30"/>
    <x v="30"/>
    <x v="45"/>
    <x v="45"/>
    <x v="45"/>
    <x v="16"/>
    <x v="453"/>
    <x v="17"/>
    <x v="148"/>
    <x v="139"/>
    <x v="389"/>
    <x v="313"/>
    <x v="15"/>
  </r>
  <r>
    <x v="0"/>
    <x v="30"/>
    <x v="30"/>
    <x v="27"/>
    <x v="27"/>
    <x v="27"/>
    <x v="17"/>
    <x v="454"/>
    <x v="106"/>
    <x v="74"/>
    <x v="8"/>
    <x v="375"/>
    <x v="242"/>
    <x v="15"/>
  </r>
  <r>
    <x v="0"/>
    <x v="30"/>
    <x v="30"/>
    <x v="44"/>
    <x v="44"/>
    <x v="44"/>
    <x v="18"/>
    <x v="375"/>
    <x v="368"/>
    <x v="65"/>
    <x v="60"/>
    <x v="390"/>
    <x v="49"/>
    <x v="15"/>
  </r>
  <r>
    <x v="0"/>
    <x v="30"/>
    <x v="30"/>
    <x v="36"/>
    <x v="36"/>
    <x v="36"/>
    <x v="19"/>
    <x v="376"/>
    <x v="369"/>
    <x v="137"/>
    <x v="328"/>
    <x v="389"/>
    <x v="313"/>
    <x v="15"/>
  </r>
  <r>
    <x v="0"/>
    <x v="31"/>
    <x v="31"/>
    <x v="0"/>
    <x v="0"/>
    <x v="0"/>
    <x v="0"/>
    <x v="197"/>
    <x v="370"/>
    <x v="219"/>
    <x v="386"/>
    <x v="91"/>
    <x v="372"/>
    <x v="15"/>
  </r>
  <r>
    <x v="0"/>
    <x v="31"/>
    <x v="31"/>
    <x v="1"/>
    <x v="1"/>
    <x v="1"/>
    <x v="1"/>
    <x v="338"/>
    <x v="371"/>
    <x v="303"/>
    <x v="387"/>
    <x v="318"/>
    <x v="124"/>
    <x v="15"/>
  </r>
  <r>
    <x v="0"/>
    <x v="31"/>
    <x v="31"/>
    <x v="3"/>
    <x v="3"/>
    <x v="3"/>
    <x v="2"/>
    <x v="391"/>
    <x v="372"/>
    <x v="304"/>
    <x v="388"/>
    <x v="374"/>
    <x v="173"/>
    <x v="15"/>
  </r>
  <r>
    <x v="0"/>
    <x v="31"/>
    <x v="31"/>
    <x v="6"/>
    <x v="6"/>
    <x v="6"/>
    <x v="3"/>
    <x v="112"/>
    <x v="373"/>
    <x v="305"/>
    <x v="389"/>
    <x v="391"/>
    <x v="373"/>
    <x v="15"/>
  </r>
  <r>
    <x v="0"/>
    <x v="31"/>
    <x v="31"/>
    <x v="4"/>
    <x v="4"/>
    <x v="4"/>
    <x v="4"/>
    <x v="244"/>
    <x v="374"/>
    <x v="292"/>
    <x v="390"/>
    <x v="359"/>
    <x v="218"/>
    <x v="15"/>
  </r>
  <r>
    <x v="0"/>
    <x v="31"/>
    <x v="31"/>
    <x v="8"/>
    <x v="8"/>
    <x v="8"/>
    <x v="5"/>
    <x v="302"/>
    <x v="322"/>
    <x v="158"/>
    <x v="198"/>
    <x v="185"/>
    <x v="374"/>
    <x v="3"/>
  </r>
  <r>
    <x v="0"/>
    <x v="31"/>
    <x v="31"/>
    <x v="10"/>
    <x v="10"/>
    <x v="10"/>
    <x v="6"/>
    <x v="179"/>
    <x v="375"/>
    <x v="147"/>
    <x v="268"/>
    <x v="185"/>
    <x v="374"/>
    <x v="15"/>
  </r>
  <r>
    <x v="0"/>
    <x v="31"/>
    <x v="31"/>
    <x v="5"/>
    <x v="5"/>
    <x v="5"/>
    <x v="7"/>
    <x v="366"/>
    <x v="78"/>
    <x v="306"/>
    <x v="391"/>
    <x v="385"/>
    <x v="375"/>
    <x v="15"/>
  </r>
  <r>
    <x v="0"/>
    <x v="31"/>
    <x v="31"/>
    <x v="2"/>
    <x v="2"/>
    <x v="2"/>
    <x v="8"/>
    <x v="165"/>
    <x v="254"/>
    <x v="126"/>
    <x v="392"/>
    <x v="199"/>
    <x v="48"/>
    <x v="15"/>
  </r>
  <r>
    <x v="0"/>
    <x v="31"/>
    <x v="31"/>
    <x v="9"/>
    <x v="9"/>
    <x v="9"/>
    <x v="9"/>
    <x v="194"/>
    <x v="302"/>
    <x v="301"/>
    <x v="393"/>
    <x v="392"/>
    <x v="132"/>
    <x v="15"/>
  </r>
  <r>
    <x v="0"/>
    <x v="31"/>
    <x v="31"/>
    <x v="7"/>
    <x v="7"/>
    <x v="7"/>
    <x v="10"/>
    <x v="305"/>
    <x v="64"/>
    <x v="77"/>
    <x v="394"/>
    <x v="290"/>
    <x v="351"/>
    <x v="15"/>
  </r>
  <r>
    <x v="0"/>
    <x v="31"/>
    <x v="31"/>
    <x v="13"/>
    <x v="13"/>
    <x v="13"/>
    <x v="11"/>
    <x v="446"/>
    <x v="246"/>
    <x v="127"/>
    <x v="395"/>
    <x v="180"/>
    <x v="376"/>
    <x v="3"/>
  </r>
  <r>
    <x v="0"/>
    <x v="31"/>
    <x v="31"/>
    <x v="12"/>
    <x v="12"/>
    <x v="12"/>
    <x v="12"/>
    <x v="317"/>
    <x v="101"/>
    <x v="45"/>
    <x v="168"/>
    <x v="374"/>
    <x v="173"/>
    <x v="15"/>
  </r>
  <r>
    <x v="0"/>
    <x v="31"/>
    <x v="31"/>
    <x v="18"/>
    <x v="18"/>
    <x v="18"/>
    <x v="13"/>
    <x v="410"/>
    <x v="311"/>
    <x v="209"/>
    <x v="167"/>
    <x v="373"/>
    <x v="56"/>
    <x v="15"/>
  </r>
  <r>
    <x v="0"/>
    <x v="31"/>
    <x v="31"/>
    <x v="17"/>
    <x v="17"/>
    <x v="17"/>
    <x v="14"/>
    <x v="421"/>
    <x v="104"/>
    <x v="56"/>
    <x v="16"/>
    <x v="290"/>
    <x v="351"/>
    <x v="15"/>
  </r>
  <r>
    <x v="0"/>
    <x v="31"/>
    <x v="31"/>
    <x v="15"/>
    <x v="15"/>
    <x v="15"/>
    <x v="15"/>
    <x v="423"/>
    <x v="38"/>
    <x v="55"/>
    <x v="41"/>
    <x v="119"/>
    <x v="7"/>
    <x v="15"/>
  </r>
  <r>
    <x v="0"/>
    <x v="31"/>
    <x v="31"/>
    <x v="14"/>
    <x v="14"/>
    <x v="14"/>
    <x v="16"/>
    <x v="455"/>
    <x v="18"/>
    <x v="55"/>
    <x v="41"/>
    <x v="364"/>
    <x v="106"/>
    <x v="15"/>
  </r>
  <r>
    <x v="0"/>
    <x v="31"/>
    <x v="31"/>
    <x v="27"/>
    <x v="27"/>
    <x v="27"/>
    <x v="17"/>
    <x v="450"/>
    <x v="19"/>
    <x v="78"/>
    <x v="356"/>
    <x v="289"/>
    <x v="166"/>
    <x v="15"/>
  </r>
  <r>
    <x v="0"/>
    <x v="31"/>
    <x v="31"/>
    <x v="44"/>
    <x v="44"/>
    <x v="44"/>
    <x v="18"/>
    <x v="412"/>
    <x v="58"/>
    <x v="65"/>
    <x v="60"/>
    <x v="276"/>
    <x v="75"/>
    <x v="15"/>
  </r>
  <r>
    <x v="0"/>
    <x v="31"/>
    <x v="31"/>
    <x v="16"/>
    <x v="16"/>
    <x v="16"/>
    <x v="19"/>
    <x v="424"/>
    <x v="376"/>
    <x v="66"/>
    <x v="44"/>
    <x v="152"/>
    <x v="88"/>
    <x v="15"/>
  </r>
  <r>
    <x v="0"/>
    <x v="32"/>
    <x v="32"/>
    <x v="1"/>
    <x v="1"/>
    <x v="1"/>
    <x v="0"/>
    <x v="456"/>
    <x v="377"/>
    <x v="307"/>
    <x v="396"/>
    <x v="393"/>
    <x v="262"/>
    <x v="15"/>
  </r>
  <r>
    <x v="0"/>
    <x v="32"/>
    <x v="32"/>
    <x v="3"/>
    <x v="3"/>
    <x v="3"/>
    <x v="1"/>
    <x v="284"/>
    <x v="378"/>
    <x v="308"/>
    <x v="397"/>
    <x v="371"/>
    <x v="377"/>
    <x v="15"/>
  </r>
  <r>
    <x v="0"/>
    <x v="32"/>
    <x v="32"/>
    <x v="0"/>
    <x v="0"/>
    <x v="0"/>
    <x v="2"/>
    <x v="269"/>
    <x v="379"/>
    <x v="75"/>
    <x v="398"/>
    <x v="279"/>
    <x v="378"/>
    <x v="15"/>
  </r>
  <r>
    <x v="0"/>
    <x v="32"/>
    <x v="32"/>
    <x v="6"/>
    <x v="6"/>
    <x v="6"/>
    <x v="3"/>
    <x v="446"/>
    <x v="380"/>
    <x v="78"/>
    <x v="399"/>
    <x v="326"/>
    <x v="379"/>
    <x v="15"/>
  </r>
  <r>
    <x v="0"/>
    <x v="32"/>
    <x v="32"/>
    <x v="8"/>
    <x v="8"/>
    <x v="8"/>
    <x v="4"/>
    <x v="317"/>
    <x v="381"/>
    <x v="101"/>
    <x v="45"/>
    <x v="326"/>
    <x v="379"/>
    <x v="15"/>
  </r>
  <r>
    <x v="0"/>
    <x v="32"/>
    <x v="32"/>
    <x v="9"/>
    <x v="9"/>
    <x v="9"/>
    <x v="5"/>
    <x v="457"/>
    <x v="382"/>
    <x v="259"/>
    <x v="400"/>
    <x v="376"/>
    <x v="380"/>
    <x v="15"/>
  </r>
  <r>
    <x v="0"/>
    <x v="32"/>
    <x v="32"/>
    <x v="4"/>
    <x v="4"/>
    <x v="4"/>
    <x v="6"/>
    <x v="407"/>
    <x v="152"/>
    <x v="208"/>
    <x v="394"/>
    <x v="394"/>
    <x v="358"/>
    <x v="15"/>
  </r>
  <r>
    <x v="0"/>
    <x v="32"/>
    <x v="32"/>
    <x v="5"/>
    <x v="5"/>
    <x v="5"/>
    <x v="7"/>
    <x v="318"/>
    <x v="383"/>
    <x v="146"/>
    <x v="401"/>
    <x v="395"/>
    <x v="381"/>
    <x v="15"/>
  </r>
  <r>
    <x v="0"/>
    <x v="32"/>
    <x v="32"/>
    <x v="7"/>
    <x v="7"/>
    <x v="7"/>
    <x v="8"/>
    <x v="422"/>
    <x v="384"/>
    <x v="117"/>
    <x v="278"/>
    <x v="396"/>
    <x v="376"/>
    <x v="15"/>
  </r>
  <r>
    <x v="0"/>
    <x v="32"/>
    <x v="32"/>
    <x v="2"/>
    <x v="2"/>
    <x v="2"/>
    <x v="9"/>
    <x v="458"/>
    <x v="385"/>
    <x v="208"/>
    <x v="394"/>
    <x v="385"/>
    <x v="107"/>
    <x v="15"/>
  </r>
  <r>
    <x v="0"/>
    <x v="32"/>
    <x v="32"/>
    <x v="10"/>
    <x v="10"/>
    <x v="10"/>
    <x v="10"/>
    <x v="450"/>
    <x v="386"/>
    <x v="147"/>
    <x v="59"/>
    <x v="291"/>
    <x v="125"/>
    <x v="15"/>
  </r>
  <r>
    <x v="0"/>
    <x v="32"/>
    <x v="32"/>
    <x v="18"/>
    <x v="18"/>
    <x v="18"/>
    <x v="11"/>
    <x v="426"/>
    <x v="69"/>
    <x v="92"/>
    <x v="309"/>
    <x v="397"/>
    <x v="9"/>
    <x v="15"/>
  </r>
  <r>
    <x v="0"/>
    <x v="32"/>
    <x v="32"/>
    <x v="12"/>
    <x v="12"/>
    <x v="12"/>
    <x v="12"/>
    <x v="459"/>
    <x v="13"/>
    <x v="66"/>
    <x v="88"/>
    <x v="387"/>
    <x v="190"/>
    <x v="15"/>
  </r>
  <r>
    <x v="0"/>
    <x v="32"/>
    <x v="32"/>
    <x v="30"/>
    <x v="30"/>
    <x v="30"/>
    <x v="13"/>
    <x v="454"/>
    <x v="54"/>
    <x v="76"/>
    <x v="64"/>
    <x v="381"/>
    <x v="356"/>
    <x v="15"/>
  </r>
  <r>
    <x v="0"/>
    <x v="32"/>
    <x v="32"/>
    <x v="27"/>
    <x v="27"/>
    <x v="27"/>
    <x v="14"/>
    <x v="440"/>
    <x v="367"/>
    <x v="44"/>
    <x v="402"/>
    <x v="381"/>
    <x v="356"/>
    <x v="15"/>
  </r>
  <r>
    <x v="0"/>
    <x v="32"/>
    <x v="32"/>
    <x v="13"/>
    <x v="13"/>
    <x v="13"/>
    <x v="15"/>
    <x v="460"/>
    <x v="136"/>
    <x v="101"/>
    <x v="45"/>
    <x v="375"/>
    <x v="371"/>
    <x v="15"/>
  </r>
  <r>
    <x v="0"/>
    <x v="32"/>
    <x v="32"/>
    <x v="11"/>
    <x v="11"/>
    <x v="11"/>
    <x v="16"/>
    <x v="461"/>
    <x v="38"/>
    <x v="137"/>
    <x v="403"/>
    <x v="386"/>
    <x v="189"/>
    <x v="15"/>
  </r>
  <r>
    <x v="0"/>
    <x v="32"/>
    <x v="32"/>
    <x v="16"/>
    <x v="16"/>
    <x v="16"/>
    <x v="17"/>
    <x v="462"/>
    <x v="178"/>
    <x v="48"/>
    <x v="41"/>
    <x v="381"/>
    <x v="356"/>
    <x v="15"/>
  </r>
  <r>
    <x v="0"/>
    <x v="32"/>
    <x v="32"/>
    <x v="15"/>
    <x v="15"/>
    <x v="15"/>
    <x v="18"/>
    <x v="463"/>
    <x v="122"/>
    <x v="48"/>
    <x v="41"/>
    <x v="385"/>
    <x v="107"/>
    <x v="15"/>
  </r>
  <r>
    <x v="0"/>
    <x v="32"/>
    <x v="32"/>
    <x v="44"/>
    <x v="44"/>
    <x v="44"/>
    <x v="19"/>
    <x v="464"/>
    <x v="238"/>
    <x v="65"/>
    <x v="60"/>
    <x v="398"/>
    <x v="103"/>
    <x v="15"/>
  </r>
  <r>
    <x v="0"/>
    <x v="33"/>
    <x v="33"/>
    <x v="0"/>
    <x v="0"/>
    <x v="0"/>
    <x v="0"/>
    <x v="141"/>
    <x v="387"/>
    <x v="64"/>
    <x v="404"/>
    <x v="399"/>
    <x v="382"/>
    <x v="15"/>
  </r>
  <r>
    <x v="0"/>
    <x v="33"/>
    <x v="33"/>
    <x v="1"/>
    <x v="1"/>
    <x v="1"/>
    <x v="1"/>
    <x v="70"/>
    <x v="388"/>
    <x v="280"/>
    <x v="405"/>
    <x v="318"/>
    <x v="158"/>
    <x v="15"/>
  </r>
  <r>
    <x v="0"/>
    <x v="33"/>
    <x v="33"/>
    <x v="3"/>
    <x v="3"/>
    <x v="3"/>
    <x v="2"/>
    <x v="465"/>
    <x v="389"/>
    <x v="309"/>
    <x v="406"/>
    <x v="117"/>
    <x v="230"/>
    <x v="15"/>
  </r>
  <r>
    <x v="0"/>
    <x v="33"/>
    <x v="33"/>
    <x v="2"/>
    <x v="2"/>
    <x v="2"/>
    <x v="3"/>
    <x v="125"/>
    <x v="390"/>
    <x v="292"/>
    <x v="231"/>
    <x v="400"/>
    <x v="383"/>
    <x v="3"/>
  </r>
  <r>
    <x v="0"/>
    <x v="33"/>
    <x v="33"/>
    <x v="4"/>
    <x v="4"/>
    <x v="4"/>
    <x v="4"/>
    <x v="192"/>
    <x v="322"/>
    <x v="310"/>
    <x v="274"/>
    <x v="117"/>
    <x v="230"/>
    <x v="15"/>
  </r>
  <r>
    <x v="0"/>
    <x v="33"/>
    <x v="33"/>
    <x v="8"/>
    <x v="8"/>
    <x v="8"/>
    <x v="5"/>
    <x v="163"/>
    <x v="391"/>
    <x v="78"/>
    <x v="34"/>
    <x v="332"/>
    <x v="384"/>
    <x v="15"/>
  </r>
  <r>
    <x v="0"/>
    <x v="33"/>
    <x v="33"/>
    <x v="5"/>
    <x v="5"/>
    <x v="5"/>
    <x v="6"/>
    <x v="466"/>
    <x v="392"/>
    <x v="266"/>
    <x v="407"/>
    <x v="366"/>
    <x v="282"/>
    <x v="15"/>
  </r>
  <r>
    <x v="0"/>
    <x v="33"/>
    <x v="33"/>
    <x v="6"/>
    <x v="6"/>
    <x v="6"/>
    <x v="7"/>
    <x v="130"/>
    <x v="393"/>
    <x v="63"/>
    <x v="192"/>
    <x v="196"/>
    <x v="385"/>
    <x v="15"/>
  </r>
  <r>
    <x v="0"/>
    <x v="33"/>
    <x v="33"/>
    <x v="9"/>
    <x v="9"/>
    <x v="9"/>
    <x v="7"/>
    <x v="130"/>
    <x v="393"/>
    <x v="283"/>
    <x v="146"/>
    <x v="401"/>
    <x v="132"/>
    <x v="15"/>
  </r>
  <r>
    <x v="0"/>
    <x v="33"/>
    <x v="33"/>
    <x v="7"/>
    <x v="7"/>
    <x v="7"/>
    <x v="9"/>
    <x v="306"/>
    <x v="365"/>
    <x v="211"/>
    <x v="408"/>
    <x v="241"/>
    <x v="29"/>
    <x v="15"/>
  </r>
  <r>
    <x v="0"/>
    <x v="33"/>
    <x v="33"/>
    <x v="10"/>
    <x v="10"/>
    <x v="10"/>
    <x v="10"/>
    <x v="207"/>
    <x v="80"/>
    <x v="74"/>
    <x v="329"/>
    <x v="255"/>
    <x v="61"/>
    <x v="15"/>
  </r>
  <r>
    <x v="0"/>
    <x v="33"/>
    <x v="33"/>
    <x v="11"/>
    <x v="11"/>
    <x v="11"/>
    <x v="11"/>
    <x v="274"/>
    <x v="394"/>
    <x v="49"/>
    <x v="409"/>
    <x v="285"/>
    <x v="386"/>
    <x v="15"/>
  </r>
  <r>
    <x v="0"/>
    <x v="33"/>
    <x v="33"/>
    <x v="13"/>
    <x v="13"/>
    <x v="13"/>
    <x v="12"/>
    <x v="406"/>
    <x v="11"/>
    <x v="127"/>
    <x v="410"/>
    <x v="241"/>
    <x v="29"/>
    <x v="15"/>
  </r>
  <r>
    <x v="0"/>
    <x v="33"/>
    <x v="33"/>
    <x v="12"/>
    <x v="12"/>
    <x v="12"/>
    <x v="13"/>
    <x v="467"/>
    <x v="197"/>
    <x v="55"/>
    <x v="85"/>
    <x v="296"/>
    <x v="168"/>
    <x v="15"/>
  </r>
  <r>
    <x v="0"/>
    <x v="33"/>
    <x v="33"/>
    <x v="14"/>
    <x v="14"/>
    <x v="14"/>
    <x v="14"/>
    <x v="423"/>
    <x v="74"/>
    <x v="66"/>
    <x v="359"/>
    <x v="241"/>
    <x v="29"/>
    <x v="15"/>
  </r>
  <r>
    <x v="0"/>
    <x v="33"/>
    <x v="33"/>
    <x v="18"/>
    <x v="18"/>
    <x v="18"/>
    <x v="15"/>
    <x v="468"/>
    <x v="266"/>
    <x v="63"/>
    <x v="192"/>
    <x v="387"/>
    <x v="201"/>
    <x v="15"/>
  </r>
  <r>
    <x v="0"/>
    <x v="33"/>
    <x v="33"/>
    <x v="17"/>
    <x v="17"/>
    <x v="17"/>
    <x v="16"/>
    <x v="458"/>
    <x v="104"/>
    <x v="55"/>
    <x v="85"/>
    <x v="364"/>
    <x v="134"/>
    <x v="15"/>
  </r>
  <r>
    <x v="0"/>
    <x v="33"/>
    <x v="33"/>
    <x v="15"/>
    <x v="15"/>
    <x v="15"/>
    <x v="17"/>
    <x v="411"/>
    <x v="200"/>
    <x v="45"/>
    <x v="15"/>
    <x v="402"/>
    <x v="54"/>
    <x v="15"/>
  </r>
  <r>
    <x v="0"/>
    <x v="33"/>
    <x v="33"/>
    <x v="27"/>
    <x v="27"/>
    <x v="27"/>
    <x v="18"/>
    <x v="424"/>
    <x v="237"/>
    <x v="78"/>
    <x v="34"/>
    <x v="403"/>
    <x v="229"/>
    <x v="15"/>
  </r>
  <r>
    <x v="0"/>
    <x v="33"/>
    <x v="33"/>
    <x v="16"/>
    <x v="16"/>
    <x v="16"/>
    <x v="19"/>
    <x v="436"/>
    <x v="225"/>
    <x v="55"/>
    <x v="85"/>
    <x v="284"/>
    <x v="28"/>
    <x v="15"/>
  </r>
  <r>
    <x v="0"/>
    <x v="34"/>
    <x v="34"/>
    <x v="0"/>
    <x v="0"/>
    <x v="0"/>
    <x v="0"/>
    <x v="63"/>
    <x v="395"/>
    <x v="284"/>
    <x v="411"/>
    <x v="404"/>
    <x v="79"/>
    <x v="3"/>
  </r>
  <r>
    <x v="0"/>
    <x v="34"/>
    <x v="34"/>
    <x v="3"/>
    <x v="3"/>
    <x v="3"/>
    <x v="1"/>
    <x v="253"/>
    <x v="396"/>
    <x v="31"/>
    <x v="203"/>
    <x v="405"/>
    <x v="184"/>
    <x v="15"/>
  </r>
  <r>
    <x v="0"/>
    <x v="34"/>
    <x v="34"/>
    <x v="1"/>
    <x v="1"/>
    <x v="1"/>
    <x v="2"/>
    <x v="469"/>
    <x v="397"/>
    <x v="254"/>
    <x v="172"/>
    <x v="406"/>
    <x v="208"/>
    <x v="15"/>
  </r>
  <r>
    <x v="0"/>
    <x v="34"/>
    <x v="34"/>
    <x v="8"/>
    <x v="8"/>
    <x v="8"/>
    <x v="3"/>
    <x v="470"/>
    <x v="398"/>
    <x v="53"/>
    <x v="412"/>
    <x v="407"/>
    <x v="387"/>
    <x v="15"/>
  </r>
  <r>
    <x v="0"/>
    <x v="34"/>
    <x v="34"/>
    <x v="4"/>
    <x v="4"/>
    <x v="4"/>
    <x v="4"/>
    <x v="471"/>
    <x v="399"/>
    <x v="311"/>
    <x v="413"/>
    <x v="147"/>
    <x v="388"/>
    <x v="15"/>
  </r>
  <r>
    <x v="0"/>
    <x v="34"/>
    <x v="34"/>
    <x v="6"/>
    <x v="6"/>
    <x v="6"/>
    <x v="5"/>
    <x v="472"/>
    <x v="400"/>
    <x v="286"/>
    <x v="369"/>
    <x v="408"/>
    <x v="389"/>
    <x v="15"/>
  </r>
  <r>
    <x v="0"/>
    <x v="34"/>
    <x v="34"/>
    <x v="9"/>
    <x v="9"/>
    <x v="9"/>
    <x v="6"/>
    <x v="363"/>
    <x v="322"/>
    <x v="97"/>
    <x v="414"/>
    <x v="367"/>
    <x v="152"/>
    <x v="3"/>
  </r>
  <r>
    <x v="0"/>
    <x v="34"/>
    <x v="34"/>
    <x v="2"/>
    <x v="2"/>
    <x v="2"/>
    <x v="7"/>
    <x v="156"/>
    <x v="401"/>
    <x v="312"/>
    <x v="415"/>
    <x v="58"/>
    <x v="62"/>
    <x v="3"/>
  </r>
  <r>
    <x v="0"/>
    <x v="34"/>
    <x v="34"/>
    <x v="5"/>
    <x v="5"/>
    <x v="5"/>
    <x v="8"/>
    <x v="473"/>
    <x v="402"/>
    <x v="313"/>
    <x v="416"/>
    <x v="377"/>
    <x v="193"/>
    <x v="15"/>
  </r>
  <r>
    <x v="0"/>
    <x v="34"/>
    <x v="34"/>
    <x v="10"/>
    <x v="10"/>
    <x v="10"/>
    <x v="9"/>
    <x v="56"/>
    <x v="254"/>
    <x v="148"/>
    <x v="356"/>
    <x v="116"/>
    <x v="390"/>
    <x v="3"/>
  </r>
  <r>
    <x v="0"/>
    <x v="34"/>
    <x v="34"/>
    <x v="13"/>
    <x v="13"/>
    <x v="13"/>
    <x v="10"/>
    <x v="400"/>
    <x v="366"/>
    <x v="104"/>
    <x v="417"/>
    <x v="359"/>
    <x v="391"/>
    <x v="5"/>
  </r>
  <r>
    <x v="0"/>
    <x v="34"/>
    <x v="34"/>
    <x v="7"/>
    <x v="7"/>
    <x v="7"/>
    <x v="11"/>
    <x v="58"/>
    <x v="9"/>
    <x v="231"/>
    <x v="418"/>
    <x v="130"/>
    <x v="73"/>
    <x v="3"/>
  </r>
  <r>
    <x v="0"/>
    <x v="34"/>
    <x v="34"/>
    <x v="11"/>
    <x v="11"/>
    <x v="11"/>
    <x v="12"/>
    <x v="181"/>
    <x v="394"/>
    <x v="75"/>
    <x v="357"/>
    <x v="400"/>
    <x v="102"/>
    <x v="15"/>
  </r>
  <r>
    <x v="0"/>
    <x v="34"/>
    <x v="34"/>
    <x v="18"/>
    <x v="18"/>
    <x v="18"/>
    <x v="13"/>
    <x v="297"/>
    <x v="32"/>
    <x v="37"/>
    <x v="63"/>
    <x v="121"/>
    <x v="159"/>
    <x v="15"/>
  </r>
  <r>
    <x v="0"/>
    <x v="34"/>
    <x v="34"/>
    <x v="12"/>
    <x v="12"/>
    <x v="12"/>
    <x v="14"/>
    <x v="404"/>
    <x v="34"/>
    <x v="55"/>
    <x v="19"/>
    <x v="172"/>
    <x v="47"/>
    <x v="3"/>
  </r>
  <r>
    <x v="0"/>
    <x v="34"/>
    <x v="34"/>
    <x v="27"/>
    <x v="27"/>
    <x v="27"/>
    <x v="15"/>
    <x v="131"/>
    <x v="72"/>
    <x v="224"/>
    <x v="315"/>
    <x v="409"/>
    <x v="392"/>
    <x v="3"/>
  </r>
  <r>
    <x v="0"/>
    <x v="34"/>
    <x v="34"/>
    <x v="17"/>
    <x v="17"/>
    <x v="17"/>
    <x v="16"/>
    <x v="208"/>
    <x v="162"/>
    <x v="48"/>
    <x v="61"/>
    <x v="410"/>
    <x v="50"/>
    <x v="15"/>
  </r>
  <r>
    <x v="0"/>
    <x v="34"/>
    <x v="34"/>
    <x v="16"/>
    <x v="16"/>
    <x v="16"/>
    <x v="17"/>
    <x v="474"/>
    <x v="179"/>
    <x v="48"/>
    <x v="61"/>
    <x v="53"/>
    <x v="37"/>
    <x v="15"/>
  </r>
  <r>
    <x v="0"/>
    <x v="34"/>
    <x v="34"/>
    <x v="44"/>
    <x v="44"/>
    <x v="44"/>
    <x v="18"/>
    <x v="406"/>
    <x v="238"/>
    <x v="45"/>
    <x v="226"/>
    <x v="358"/>
    <x v="18"/>
    <x v="15"/>
  </r>
  <r>
    <x v="0"/>
    <x v="34"/>
    <x v="34"/>
    <x v="14"/>
    <x v="14"/>
    <x v="14"/>
    <x v="19"/>
    <x v="448"/>
    <x v="19"/>
    <x v="55"/>
    <x v="19"/>
    <x v="358"/>
    <x v="18"/>
    <x v="15"/>
  </r>
  <r>
    <x v="0"/>
    <x v="35"/>
    <x v="35"/>
    <x v="0"/>
    <x v="0"/>
    <x v="0"/>
    <x v="0"/>
    <x v="475"/>
    <x v="403"/>
    <x v="79"/>
    <x v="419"/>
    <x v="171"/>
    <x v="393"/>
    <x v="15"/>
  </r>
  <r>
    <x v="0"/>
    <x v="35"/>
    <x v="35"/>
    <x v="1"/>
    <x v="1"/>
    <x v="1"/>
    <x v="1"/>
    <x v="204"/>
    <x v="404"/>
    <x v="98"/>
    <x v="420"/>
    <x v="284"/>
    <x v="141"/>
    <x v="15"/>
  </r>
  <r>
    <x v="0"/>
    <x v="35"/>
    <x v="35"/>
    <x v="3"/>
    <x v="3"/>
    <x v="3"/>
    <x v="2"/>
    <x v="442"/>
    <x v="405"/>
    <x v="223"/>
    <x v="421"/>
    <x v="411"/>
    <x v="42"/>
    <x v="15"/>
  </r>
  <r>
    <x v="0"/>
    <x v="35"/>
    <x v="35"/>
    <x v="4"/>
    <x v="4"/>
    <x v="4"/>
    <x v="3"/>
    <x v="476"/>
    <x v="406"/>
    <x v="117"/>
    <x v="422"/>
    <x v="401"/>
    <x v="394"/>
    <x v="15"/>
  </r>
  <r>
    <x v="0"/>
    <x v="35"/>
    <x v="35"/>
    <x v="5"/>
    <x v="5"/>
    <x v="5"/>
    <x v="3"/>
    <x v="476"/>
    <x v="406"/>
    <x v="182"/>
    <x v="423"/>
    <x v="386"/>
    <x v="151"/>
    <x v="15"/>
  </r>
  <r>
    <x v="0"/>
    <x v="35"/>
    <x v="35"/>
    <x v="2"/>
    <x v="2"/>
    <x v="2"/>
    <x v="5"/>
    <x v="446"/>
    <x v="407"/>
    <x v="79"/>
    <x v="419"/>
    <x v="369"/>
    <x v="119"/>
    <x v="15"/>
  </r>
  <r>
    <x v="0"/>
    <x v="35"/>
    <x v="35"/>
    <x v="9"/>
    <x v="9"/>
    <x v="9"/>
    <x v="6"/>
    <x v="467"/>
    <x v="408"/>
    <x v="79"/>
    <x v="419"/>
    <x v="396"/>
    <x v="395"/>
    <x v="3"/>
  </r>
  <r>
    <x v="0"/>
    <x v="35"/>
    <x v="35"/>
    <x v="7"/>
    <x v="7"/>
    <x v="7"/>
    <x v="7"/>
    <x v="423"/>
    <x v="409"/>
    <x v="232"/>
    <x v="424"/>
    <x v="412"/>
    <x v="300"/>
    <x v="15"/>
  </r>
  <r>
    <x v="0"/>
    <x v="35"/>
    <x v="35"/>
    <x v="8"/>
    <x v="8"/>
    <x v="8"/>
    <x v="8"/>
    <x v="477"/>
    <x v="132"/>
    <x v="55"/>
    <x v="148"/>
    <x v="291"/>
    <x v="237"/>
    <x v="15"/>
  </r>
  <r>
    <x v="0"/>
    <x v="35"/>
    <x v="35"/>
    <x v="6"/>
    <x v="6"/>
    <x v="6"/>
    <x v="9"/>
    <x v="436"/>
    <x v="265"/>
    <x v="47"/>
    <x v="151"/>
    <x v="366"/>
    <x v="62"/>
    <x v="15"/>
  </r>
  <r>
    <x v="0"/>
    <x v="35"/>
    <x v="35"/>
    <x v="12"/>
    <x v="12"/>
    <x v="12"/>
    <x v="9"/>
    <x v="436"/>
    <x v="265"/>
    <x v="65"/>
    <x v="60"/>
    <x v="411"/>
    <x v="42"/>
    <x v="15"/>
  </r>
  <r>
    <x v="0"/>
    <x v="35"/>
    <x v="35"/>
    <x v="13"/>
    <x v="13"/>
    <x v="13"/>
    <x v="11"/>
    <x v="478"/>
    <x v="410"/>
    <x v="46"/>
    <x v="144"/>
    <x v="413"/>
    <x v="68"/>
    <x v="15"/>
  </r>
  <r>
    <x v="0"/>
    <x v="35"/>
    <x v="35"/>
    <x v="10"/>
    <x v="10"/>
    <x v="10"/>
    <x v="12"/>
    <x v="479"/>
    <x v="66"/>
    <x v="55"/>
    <x v="148"/>
    <x v="373"/>
    <x v="83"/>
    <x v="15"/>
  </r>
  <r>
    <x v="0"/>
    <x v="35"/>
    <x v="35"/>
    <x v="44"/>
    <x v="44"/>
    <x v="44"/>
    <x v="13"/>
    <x v="375"/>
    <x v="411"/>
    <x v="66"/>
    <x v="360"/>
    <x v="414"/>
    <x v="152"/>
    <x v="15"/>
  </r>
  <r>
    <x v="0"/>
    <x v="35"/>
    <x v="35"/>
    <x v="18"/>
    <x v="18"/>
    <x v="18"/>
    <x v="14"/>
    <x v="460"/>
    <x v="134"/>
    <x v="137"/>
    <x v="425"/>
    <x v="343"/>
    <x v="92"/>
    <x v="15"/>
  </r>
  <r>
    <x v="0"/>
    <x v="35"/>
    <x v="35"/>
    <x v="11"/>
    <x v="11"/>
    <x v="11"/>
    <x v="15"/>
    <x v="376"/>
    <x v="367"/>
    <x v="78"/>
    <x v="426"/>
    <x v="415"/>
    <x v="364"/>
    <x v="15"/>
  </r>
  <r>
    <x v="0"/>
    <x v="35"/>
    <x v="35"/>
    <x v="14"/>
    <x v="14"/>
    <x v="14"/>
    <x v="16"/>
    <x v="462"/>
    <x v="104"/>
    <x v="66"/>
    <x v="360"/>
    <x v="381"/>
    <x v="159"/>
    <x v="3"/>
  </r>
  <r>
    <x v="0"/>
    <x v="35"/>
    <x v="35"/>
    <x v="27"/>
    <x v="27"/>
    <x v="27"/>
    <x v="17"/>
    <x v="464"/>
    <x v="187"/>
    <x v="81"/>
    <x v="427"/>
    <x v="389"/>
    <x v="56"/>
    <x v="15"/>
  </r>
  <r>
    <x v="0"/>
    <x v="35"/>
    <x v="35"/>
    <x v="42"/>
    <x v="42"/>
    <x v="42"/>
    <x v="18"/>
    <x v="480"/>
    <x v="179"/>
    <x v="48"/>
    <x v="428"/>
    <x v="388"/>
    <x v="89"/>
    <x v="15"/>
  </r>
  <r>
    <x v="0"/>
    <x v="35"/>
    <x v="35"/>
    <x v="15"/>
    <x v="15"/>
    <x v="15"/>
    <x v="19"/>
    <x v="481"/>
    <x v="237"/>
    <x v="66"/>
    <x v="360"/>
    <x v="388"/>
    <x v="89"/>
    <x v="15"/>
  </r>
  <r>
    <x v="0"/>
    <x v="36"/>
    <x v="36"/>
    <x v="0"/>
    <x v="0"/>
    <x v="0"/>
    <x v="0"/>
    <x v="417"/>
    <x v="412"/>
    <x v="283"/>
    <x v="429"/>
    <x v="235"/>
    <x v="396"/>
    <x v="15"/>
  </r>
  <r>
    <x v="0"/>
    <x v="36"/>
    <x v="36"/>
    <x v="3"/>
    <x v="3"/>
    <x v="3"/>
    <x v="1"/>
    <x v="177"/>
    <x v="413"/>
    <x v="86"/>
    <x v="430"/>
    <x v="241"/>
    <x v="397"/>
    <x v="15"/>
  </r>
  <r>
    <x v="0"/>
    <x v="36"/>
    <x v="36"/>
    <x v="1"/>
    <x v="1"/>
    <x v="1"/>
    <x v="2"/>
    <x v="482"/>
    <x v="414"/>
    <x v="169"/>
    <x v="431"/>
    <x v="289"/>
    <x v="164"/>
    <x v="3"/>
  </r>
  <r>
    <x v="0"/>
    <x v="36"/>
    <x v="36"/>
    <x v="6"/>
    <x v="6"/>
    <x v="6"/>
    <x v="3"/>
    <x v="205"/>
    <x v="415"/>
    <x v="314"/>
    <x v="432"/>
    <x v="117"/>
    <x v="398"/>
    <x v="15"/>
  </r>
  <r>
    <x v="0"/>
    <x v="36"/>
    <x v="36"/>
    <x v="9"/>
    <x v="9"/>
    <x v="9"/>
    <x v="4"/>
    <x v="298"/>
    <x v="416"/>
    <x v="156"/>
    <x v="433"/>
    <x v="413"/>
    <x v="76"/>
    <x v="15"/>
  </r>
  <r>
    <x v="0"/>
    <x v="36"/>
    <x v="36"/>
    <x v="8"/>
    <x v="8"/>
    <x v="8"/>
    <x v="5"/>
    <x v="483"/>
    <x v="417"/>
    <x v="78"/>
    <x v="264"/>
    <x v="67"/>
    <x v="399"/>
    <x v="15"/>
  </r>
  <r>
    <x v="0"/>
    <x v="36"/>
    <x v="36"/>
    <x v="4"/>
    <x v="4"/>
    <x v="4"/>
    <x v="5"/>
    <x v="483"/>
    <x v="417"/>
    <x v="138"/>
    <x v="312"/>
    <x v="392"/>
    <x v="400"/>
    <x v="15"/>
  </r>
  <r>
    <x v="0"/>
    <x v="36"/>
    <x v="36"/>
    <x v="2"/>
    <x v="2"/>
    <x v="2"/>
    <x v="7"/>
    <x v="405"/>
    <x v="418"/>
    <x v="296"/>
    <x v="434"/>
    <x v="290"/>
    <x v="401"/>
    <x v="15"/>
  </r>
  <r>
    <x v="0"/>
    <x v="36"/>
    <x v="36"/>
    <x v="5"/>
    <x v="5"/>
    <x v="5"/>
    <x v="7"/>
    <x v="405"/>
    <x v="418"/>
    <x v="43"/>
    <x v="435"/>
    <x v="415"/>
    <x v="402"/>
    <x v="15"/>
  </r>
  <r>
    <x v="0"/>
    <x v="36"/>
    <x v="36"/>
    <x v="7"/>
    <x v="7"/>
    <x v="7"/>
    <x v="9"/>
    <x v="272"/>
    <x v="419"/>
    <x v="107"/>
    <x v="392"/>
    <x v="284"/>
    <x v="334"/>
    <x v="15"/>
  </r>
  <r>
    <x v="0"/>
    <x v="36"/>
    <x v="36"/>
    <x v="10"/>
    <x v="10"/>
    <x v="10"/>
    <x v="10"/>
    <x v="407"/>
    <x v="81"/>
    <x v="81"/>
    <x v="436"/>
    <x v="199"/>
    <x v="220"/>
    <x v="15"/>
  </r>
  <r>
    <x v="0"/>
    <x v="36"/>
    <x v="36"/>
    <x v="18"/>
    <x v="18"/>
    <x v="18"/>
    <x v="11"/>
    <x v="467"/>
    <x v="169"/>
    <x v="49"/>
    <x v="404"/>
    <x v="289"/>
    <x v="164"/>
    <x v="15"/>
  </r>
  <r>
    <x v="0"/>
    <x v="36"/>
    <x v="36"/>
    <x v="13"/>
    <x v="13"/>
    <x v="13"/>
    <x v="12"/>
    <x v="420"/>
    <x v="97"/>
    <x v="103"/>
    <x v="86"/>
    <x v="369"/>
    <x v="101"/>
    <x v="3"/>
  </r>
  <r>
    <x v="0"/>
    <x v="36"/>
    <x v="36"/>
    <x v="11"/>
    <x v="11"/>
    <x v="11"/>
    <x v="13"/>
    <x v="484"/>
    <x v="134"/>
    <x v="209"/>
    <x v="377"/>
    <x v="343"/>
    <x v="304"/>
    <x v="15"/>
  </r>
  <r>
    <x v="0"/>
    <x v="36"/>
    <x v="36"/>
    <x v="44"/>
    <x v="44"/>
    <x v="44"/>
    <x v="14"/>
    <x v="485"/>
    <x v="201"/>
    <x v="66"/>
    <x v="61"/>
    <x v="390"/>
    <x v="106"/>
    <x v="15"/>
  </r>
  <r>
    <x v="0"/>
    <x v="36"/>
    <x v="36"/>
    <x v="27"/>
    <x v="27"/>
    <x v="27"/>
    <x v="15"/>
    <x v="486"/>
    <x v="18"/>
    <x v="46"/>
    <x v="437"/>
    <x v="388"/>
    <x v="403"/>
    <x v="15"/>
  </r>
  <r>
    <x v="0"/>
    <x v="36"/>
    <x v="36"/>
    <x v="16"/>
    <x v="16"/>
    <x v="16"/>
    <x v="16"/>
    <x v="438"/>
    <x v="215"/>
    <x v="56"/>
    <x v="183"/>
    <x v="413"/>
    <x v="76"/>
    <x v="15"/>
  </r>
  <r>
    <x v="0"/>
    <x v="36"/>
    <x v="36"/>
    <x v="17"/>
    <x v="17"/>
    <x v="17"/>
    <x v="17"/>
    <x v="375"/>
    <x v="420"/>
    <x v="65"/>
    <x v="60"/>
    <x v="390"/>
    <x v="106"/>
    <x v="15"/>
  </r>
  <r>
    <x v="0"/>
    <x v="36"/>
    <x v="36"/>
    <x v="12"/>
    <x v="12"/>
    <x v="12"/>
    <x v="17"/>
    <x v="375"/>
    <x v="420"/>
    <x v="45"/>
    <x v="31"/>
    <x v="393"/>
    <x v="215"/>
    <x v="15"/>
  </r>
  <r>
    <x v="0"/>
    <x v="36"/>
    <x v="36"/>
    <x v="19"/>
    <x v="19"/>
    <x v="19"/>
    <x v="19"/>
    <x v="462"/>
    <x v="358"/>
    <x v="45"/>
    <x v="31"/>
    <x v="388"/>
    <x v="403"/>
    <x v="15"/>
  </r>
  <r>
    <x v="0"/>
    <x v="36"/>
    <x v="36"/>
    <x v="14"/>
    <x v="14"/>
    <x v="14"/>
    <x v="19"/>
    <x v="462"/>
    <x v="358"/>
    <x v="48"/>
    <x v="180"/>
    <x v="381"/>
    <x v="404"/>
    <x v="15"/>
  </r>
  <r>
    <x v="0"/>
    <x v="37"/>
    <x v="37"/>
    <x v="0"/>
    <x v="0"/>
    <x v="0"/>
    <x v="0"/>
    <x v="155"/>
    <x v="421"/>
    <x v="220"/>
    <x v="438"/>
    <x v="185"/>
    <x v="405"/>
    <x v="15"/>
  </r>
  <r>
    <x v="0"/>
    <x v="37"/>
    <x v="37"/>
    <x v="3"/>
    <x v="3"/>
    <x v="3"/>
    <x v="1"/>
    <x v="294"/>
    <x v="422"/>
    <x v="143"/>
    <x v="439"/>
    <x v="152"/>
    <x v="406"/>
    <x v="15"/>
  </r>
  <r>
    <x v="0"/>
    <x v="37"/>
    <x v="37"/>
    <x v="1"/>
    <x v="1"/>
    <x v="1"/>
    <x v="2"/>
    <x v="487"/>
    <x v="423"/>
    <x v="315"/>
    <x v="440"/>
    <x v="360"/>
    <x v="35"/>
    <x v="3"/>
  </r>
  <r>
    <x v="0"/>
    <x v="37"/>
    <x v="37"/>
    <x v="9"/>
    <x v="9"/>
    <x v="9"/>
    <x v="3"/>
    <x v="466"/>
    <x v="424"/>
    <x v="316"/>
    <x v="441"/>
    <x v="371"/>
    <x v="407"/>
    <x v="15"/>
  </r>
  <r>
    <x v="0"/>
    <x v="37"/>
    <x v="37"/>
    <x v="5"/>
    <x v="5"/>
    <x v="5"/>
    <x v="4"/>
    <x v="270"/>
    <x v="289"/>
    <x v="156"/>
    <x v="442"/>
    <x v="397"/>
    <x v="240"/>
    <x v="15"/>
  </r>
  <r>
    <x v="0"/>
    <x v="37"/>
    <x v="37"/>
    <x v="2"/>
    <x v="2"/>
    <x v="2"/>
    <x v="5"/>
    <x v="488"/>
    <x v="425"/>
    <x v="286"/>
    <x v="443"/>
    <x v="377"/>
    <x v="203"/>
    <x v="15"/>
  </r>
  <r>
    <x v="0"/>
    <x v="37"/>
    <x v="37"/>
    <x v="6"/>
    <x v="6"/>
    <x v="6"/>
    <x v="6"/>
    <x v="405"/>
    <x v="426"/>
    <x v="209"/>
    <x v="361"/>
    <x v="282"/>
    <x v="408"/>
    <x v="15"/>
  </r>
  <r>
    <x v="0"/>
    <x v="37"/>
    <x v="37"/>
    <x v="8"/>
    <x v="8"/>
    <x v="8"/>
    <x v="7"/>
    <x v="208"/>
    <x v="427"/>
    <x v="92"/>
    <x v="444"/>
    <x v="53"/>
    <x v="275"/>
    <x v="15"/>
  </r>
  <r>
    <x v="0"/>
    <x v="37"/>
    <x v="37"/>
    <x v="4"/>
    <x v="4"/>
    <x v="4"/>
    <x v="8"/>
    <x v="272"/>
    <x v="428"/>
    <x v="145"/>
    <x v="128"/>
    <x v="416"/>
    <x v="155"/>
    <x v="15"/>
  </r>
  <r>
    <x v="0"/>
    <x v="37"/>
    <x v="37"/>
    <x v="13"/>
    <x v="13"/>
    <x v="13"/>
    <x v="9"/>
    <x v="489"/>
    <x v="346"/>
    <x v="89"/>
    <x v="445"/>
    <x v="416"/>
    <x v="155"/>
    <x v="15"/>
  </r>
  <r>
    <x v="0"/>
    <x v="37"/>
    <x v="37"/>
    <x v="10"/>
    <x v="10"/>
    <x v="10"/>
    <x v="10"/>
    <x v="490"/>
    <x v="429"/>
    <x v="103"/>
    <x v="59"/>
    <x v="416"/>
    <x v="155"/>
    <x v="15"/>
  </r>
  <r>
    <x v="0"/>
    <x v="37"/>
    <x v="37"/>
    <x v="7"/>
    <x v="7"/>
    <x v="7"/>
    <x v="11"/>
    <x v="491"/>
    <x v="133"/>
    <x v="51"/>
    <x v="446"/>
    <x v="371"/>
    <x v="407"/>
    <x v="3"/>
  </r>
  <r>
    <x v="0"/>
    <x v="37"/>
    <x v="37"/>
    <x v="44"/>
    <x v="44"/>
    <x v="44"/>
    <x v="12"/>
    <x v="452"/>
    <x v="311"/>
    <x v="65"/>
    <x v="60"/>
    <x v="366"/>
    <x v="184"/>
    <x v="15"/>
  </r>
  <r>
    <x v="0"/>
    <x v="37"/>
    <x v="37"/>
    <x v="17"/>
    <x v="17"/>
    <x v="17"/>
    <x v="13"/>
    <x v="459"/>
    <x v="103"/>
    <x v="65"/>
    <x v="60"/>
    <x v="373"/>
    <x v="409"/>
    <x v="15"/>
  </r>
  <r>
    <x v="0"/>
    <x v="37"/>
    <x v="37"/>
    <x v="18"/>
    <x v="18"/>
    <x v="18"/>
    <x v="14"/>
    <x v="485"/>
    <x v="38"/>
    <x v="113"/>
    <x v="447"/>
    <x v="375"/>
    <x v="17"/>
    <x v="15"/>
  </r>
  <r>
    <x v="0"/>
    <x v="37"/>
    <x v="37"/>
    <x v="11"/>
    <x v="11"/>
    <x v="11"/>
    <x v="15"/>
    <x v="486"/>
    <x v="430"/>
    <x v="136"/>
    <x v="412"/>
    <x v="397"/>
    <x v="240"/>
    <x v="15"/>
  </r>
  <r>
    <x v="0"/>
    <x v="37"/>
    <x v="37"/>
    <x v="14"/>
    <x v="14"/>
    <x v="14"/>
    <x v="16"/>
    <x v="437"/>
    <x v="258"/>
    <x v="66"/>
    <x v="61"/>
    <x v="370"/>
    <x v="33"/>
    <x v="15"/>
  </r>
  <r>
    <x v="0"/>
    <x v="37"/>
    <x v="37"/>
    <x v="42"/>
    <x v="42"/>
    <x v="42"/>
    <x v="17"/>
    <x v="438"/>
    <x v="238"/>
    <x v="147"/>
    <x v="102"/>
    <x v="381"/>
    <x v="65"/>
    <x v="15"/>
  </r>
  <r>
    <x v="0"/>
    <x v="37"/>
    <x v="37"/>
    <x v="16"/>
    <x v="16"/>
    <x v="16"/>
    <x v="18"/>
    <x v="439"/>
    <x v="225"/>
    <x v="45"/>
    <x v="35"/>
    <x v="414"/>
    <x v="410"/>
    <x v="15"/>
  </r>
  <r>
    <x v="0"/>
    <x v="37"/>
    <x v="37"/>
    <x v="12"/>
    <x v="12"/>
    <x v="12"/>
    <x v="18"/>
    <x v="439"/>
    <x v="225"/>
    <x v="55"/>
    <x v="85"/>
    <x v="382"/>
    <x v="241"/>
    <x v="15"/>
  </r>
  <r>
    <x v="0"/>
    <x v="38"/>
    <x v="38"/>
    <x v="1"/>
    <x v="1"/>
    <x v="1"/>
    <x v="0"/>
    <x v="392"/>
    <x v="431"/>
    <x v="317"/>
    <x v="448"/>
    <x v="363"/>
    <x v="210"/>
    <x v="15"/>
  </r>
  <r>
    <x v="0"/>
    <x v="38"/>
    <x v="38"/>
    <x v="3"/>
    <x v="3"/>
    <x v="3"/>
    <x v="1"/>
    <x v="355"/>
    <x v="432"/>
    <x v="229"/>
    <x v="449"/>
    <x v="152"/>
    <x v="8"/>
    <x v="15"/>
  </r>
  <r>
    <x v="0"/>
    <x v="38"/>
    <x v="38"/>
    <x v="0"/>
    <x v="0"/>
    <x v="0"/>
    <x v="2"/>
    <x v="441"/>
    <x v="228"/>
    <x v="117"/>
    <x v="347"/>
    <x v="172"/>
    <x v="411"/>
    <x v="15"/>
  </r>
  <r>
    <x v="0"/>
    <x v="38"/>
    <x v="38"/>
    <x v="6"/>
    <x v="6"/>
    <x v="6"/>
    <x v="3"/>
    <x v="314"/>
    <x v="433"/>
    <x v="53"/>
    <x v="389"/>
    <x v="279"/>
    <x v="412"/>
    <x v="15"/>
  </r>
  <r>
    <x v="0"/>
    <x v="38"/>
    <x v="38"/>
    <x v="4"/>
    <x v="4"/>
    <x v="4"/>
    <x v="4"/>
    <x v="405"/>
    <x v="434"/>
    <x v="144"/>
    <x v="450"/>
    <x v="401"/>
    <x v="413"/>
    <x v="15"/>
  </r>
  <r>
    <x v="0"/>
    <x v="38"/>
    <x v="38"/>
    <x v="8"/>
    <x v="8"/>
    <x v="8"/>
    <x v="5"/>
    <x v="272"/>
    <x v="435"/>
    <x v="76"/>
    <x v="102"/>
    <x v="417"/>
    <x v="414"/>
    <x v="15"/>
  </r>
  <r>
    <x v="0"/>
    <x v="38"/>
    <x v="38"/>
    <x v="5"/>
    <x v="5"/>
    <x v="5"/>
    <x v="6"/>
    <x v="447"/>
    <x v="191"/>
    <x v="126"/>
    <x v="58"/>
    <x v="418"/>
    <x v="415"/>
    <x v="15"/>
  </r>
  <r>
    <x v="0"/>
    <x v="38"/>
    <x v="38"/>
    <x v="7"/>
    <x v="7"/>
    <x v="7"/>
    <x v="7"/>
    <x v="492"/>
    <x v="142"/>
    <x v="138"/>
    <x v="451"/>
    <x v="381"/>
    <x v="294"/>
    <x v="15"/>
  </r>
  <r>
    <x v="0"/>
    <x v="38"/>
    <x v="38"/>
    <x v="9"/>
    <x v="9"/>
    <x v="9"/>
    <x v="8"/>
    <x v="317"/>
    <x v="185"/>
    <x v="77"/>
    <x v="452"/>
    <x v="397"/>
    <x v="154"/>
    <x v="15"/>
  </r>
  <r>
    <x v="0"/>
    <x v="38"/>
    <x v="38"/>
    <x v="10"/>
    <x v="10"/>
    <x v="10"/>
    <x v="9"/>
    <x v="493"/>
    <x v="436"/>
    <x v="137"/>
    <x v="245"/>
    <x v="301"/>
    <x v="416"/>
    <x v="15"/>
  </r>
  <r>
    <x v="0"/>
    <x v="38"/>
    <x v="38"/>
    <x v="2"/>
    <x v="2"/>
    <x v="2"/>
    <x v="10"/>
    <x v="467"/>
    <x v="282"/>
    <x v="208"/>
    <x v="453"/>
    <x v="387"/>
    <x v="27"/>
    <x v="15"/>
  </r>
  <r>
    <x v="0"/>
    <x v="38"/>
    <x v="38"/>
    <x v="13"/>
    <x v="13"/>
    <x v="13"/>
    <x v="11"/>
    <x v="468"/>
    <x v="211"/>
    <x v="60"/>
    <x v="454"/>
    <x v="419"/>
    <x v="101"/>
    <x v="15"/>
  </r>
  <r>
    <x v="0"/>
    <x v="38"/>
    <x v="38"/>
    <x v="12"/>
    <x v="12"/>
    <x v="12"/>
    <x v="12"/>
    <x v="478"/>
    <x v="34"/>
    <x v="45"/>
    <x v="219"/>
    <x v="366"/>
    <x v="280"/>
    <x v="15"/>
  </r>
  <r>
    <x v="0"/>
    <x v="38"/>
    <x v="38"/>
    <x v="18"/>
    <x v="18"/>
    <x v="18"/>
    <x v="13"/>
    <x v="479"/>
    <x v="148"/>
    <x v="127"/>
    <x v="455"/>
    <x v="380"/>
    <x v="323"/>
    <x v="15"/>
  </r>
  <r>
    <x v="0"/>
    <x v="38"/>
    <x v="38"/>
    <x v="44"/>
    <x v="44"/>
    <x v="44"/>
    <x v="14"/>
    <x v="454"/>
    <x v="38"/>
    <x v="65"/>
    <x v="60"/>
    <x v="390"/>
    <x v="49"/>
    <x v="15"/>
  </r>
  <r>
    <x v="0"/>
    <x v="38"/>
    <x v="38"/>
    <x v="27"/>
    <x v="27"/>
    <x v="27"/>
    <x v="15"/>
    <x v="440"/>
    <x v="178"/>
    <x v="74"/>
    <x v="71"/>
    <x v="412"/>
    <x v="236"/>
    <x v="15"/>
  </r>
  <r>
    <x v="0"/>
    <x v="38"/>
    <x v="38"/>
    <x v="14"/>
    <x v="14"/>
    <x v="14"/>
    <x v="16"/>
    <x v="375"/>
    <x v="56"/>
    <x v="56"/>
    <x v="184"/>
    <x v="396"/>
    <x v="249"/>
    <x v="15"/>
  </r>
  <r>
    <x v="0"/>
    <x v="38"/>
    <x v="38"/>
    <x v="11"/>
    <x v="11"/>
    <x v="11"/>
    <x v="17"/>
    <x v="462"/>
    <x v="437"/>
    <x v="60"/>
    <x v="454"/>
    <x v="420"/>
    <x v="417"/>
    <x v="15"/>
  </r>
  <r>
    <x v="0"/>
    <x v="38"/>
    <x v="38"/>
    <x v="16"/>
    <x v="16"/>
    <x v="16"/>
    <x v="18"/>
    <x v="481"/>
    <x v="438"/>
    <x v="56"/>
    <x v="184"/>
    <x v="397"/>
    <x v="154"/>
    <x v="15"/>
  </r>
  <r>
    <x v="0"/>
    <x v="38"/>
    <x v="38"/>
    <x v="15"/>
    <x v="15"/>
    <x v="15"/>
    <x v="19"/>
    <x v="494"/>
    <x v="439"/>
    <x v="55"/>
    <x v="15"/>
    <x v="343"/>
    <x v="365"/>
    <x v="15"/>
  </r>
  <r>
    <x v="0"/>
    <x v="39"/>
    <x v="39"/>
    <x v="0"/>
    <x v="0"/>
    <x v="0"/>
    <x v="0"/>
    <x v="201"/>
    <x v="440"/>
    <x v="127"/>
    <x v="193"/>
    <x v="177"/>
    <x v="418"/>
    <x v="15"/>
  </r>
  <r>
    <x v="0"/>
    <x v="39"/>
    <x v="39"/>
    <x v="1"/>
    <x v="1"/>
    <x v="1"/>
    <x v="1"/>
    <x v="302"/>
    <x v="441"/>
    <x v="306"/>
    <x v="456"/>
    <x v="394"/>
    <x v="276"/>
    <x v="15"/>
  </r>
  <r>
    <x v="0"/>
    <x v="39"/>
    <x v="39"/>
    <x v="3"/>
    <x v="3"/>
    <x v="3"/>
    <x v="2"/>
    <x v="495"/>
    <x v="442"/>
    <x v="318"/>
    <x v="457"/>
    <x v="402"/>
    <x v="41"/>
    <x v="15"/>
  </r>
  <r>
    <x v="0"/>
    <x v="39"/>
    <x v="39"/>
    <x v="9"/>
    <x v="9"/>
    <x v="9"/>
    <x v="3"/>
    <x v="496"/>
    <x v="443"/>
    <x v="173"/>
    <x v="458"/>
    <x v="403"/>
    <x v="22"/>
    <x v="3"/>
  </r>
  <r>
    <x v="0"/>
    <x v="39"/>
    <x v="39"/>
    <x v="5"/>
    <x v="5"/>
    <x v="5"/>
    <x v="4"/>
    <x v="210"/>
    <x v="166"/>
    <x v="279"/>
    <x v="459"/>
    <x v="397"/>
    <x v="154"/>
    <x v="15"/>
  </r>
  <r>
    <x v="0"/>
    <x v="39"/>
    <x v="39"/>
    <x v="4"/>
    <x v="4"/>
    <x v="4"/>
    <x v="5"/>
    <x v="308"/>
    <x v="444"/>
    <x v="319"/>
    <x v="460"/>
    <x v="286"/>
    <x v="235"/>
    <x v="15"/>
  </r>
  <r>
    <x v="0"/>
    <x v="39"/>
    <x v="39"/>
    <x v="2"/>
    <x v="2"/>
    <x v="2"/>
    <x v="6"/>
    <x v="476"/>
    <x v="445"/>
    <x v="319"/>
    <x v="460"/>
    <x v="364"/>
    <x v="419"/>
    <x v="15"/>
  </r>
  <r>
    <x v="0"/>
    <x v="39"/>
    <x v="39"/>
    <x v="8"/>
    <x v="8"/>
    <x v="8"/>
    <x v="7"/>
    <x v="467"/>
    <x v="153"/>
    <x v="101"/>
    <x v="264"/>
    <x v="392"/>
    <x v="420"/>
    <x v="15"/>
  </r>
  <r>
    <x v="0"/>
    <x v="39"/>
    <x v="39"/>
    <x v="7"/>
    <x v="7"/>
    <x v="7"/>
    <x v="8"/>
    <x v="435"/>
    <x v="26"/>
    <x v="269"/>
    <x v="461"/>
    <x v="390"/>
    <x v="33"/>
    <x v="15"/>
  </r>
  <r>
    <x v="0"/>
    <x v="39"/>
    <x v="39"/>
    <x v="13"/>
    <x v="13"/>
    <x v="13"/>
    <x v="9"/>
    <x v="411"/>
    <x v="47"/>
    <x v="46"/>
    <x v="252"/>
    <x v="387"/>
    <x v="163"/>
    <x v="15"/>
  </r>
  <r>
    <x v="0"/>
    <x v="39"/>
    <x v="39"/>
    <x v="11"/>
    <x v="11"/>
    <x v="11"/>
    <x v="10"/>
    <x v="450"/>
    <x v="446"/>
    <x v="54"/>
    <x v="350"/>
    <x v="419"/>
    <x v="100"/>
    <x v="15"/>
  </r>
  <r>
    <x v="0"/>
    <x v="39"/>
    <x v="39"/>
    <x v="6"/>
    <x v="6"/>
    <x v="6"/>
    <x v="11"/>
    <x v="412"/>
    <x v="447"/>
    <x v="46"/>
    <x v="252"/>
    <x v="376"/>
    <x v="302"/>
    <x v="15"/>
  </r>
  <r>
    <x v="0"/>
    <x v="39"/>
    <x v="39"/>
    <x v="12"/>
    <x v="12"/>
    <x v="12"/>
    <x v="11"/>
    <x v="412"/>
    <x v="447"/>
    <x v="65"/>
    <x v="60"/>
    <x v="276"/>
    <x v="61"/>
    <x v="15"/>
  </r>
  <r>
    <x v="0"/>
    <x v="39"/>
    <x v="39"/>
    <x v="10"/>
    <x v="10"/>
    <x v="10"/>
    <x v="13"/>
    <x v="452"/>
    <x v="173"/>
    <x v="45"/>
    <x v="281"/>
    <x v="289"/>
    <x v="31"/>
    <x v="15"/>
  </r>
  <r>
    <x v="0"/>
    <x v="39"/>
    <x v="39"/>
    <x v="18"/>
    <x v="18"/>
    <x v="18"/>
    <x v="14"/>
    <x v="485"/>
    <x v="284"/>
    <x v="101"/>
    <x v="264"/>
    <x v="396"/>
    <x v="74"/>
    <x v="15"/>
  </r>
  <r>
    <x v="0"/>
    <x v="39"/>
    <x v="39"/>
    <x v="44"/>
    <x v="44"/>
    <x v="44"/>
    <x v="15"/>
    <x v="440"/>
    <x v="37"/>
    <x v="65"/>
    <x v="60"/>
    <x v="382"/>
    <x v="11"/>
    <x v="15"/>
  </r>
  <r>
    <x v="0"/>
    <x v="39"/>
    <x v="39"/>
    <x v="17"/>
    <x v="17"/>
    <x v="17"/>
    <x v="16"/>
    <x v="460"/>
    <x v="448"/>
    <x v="66"/>
    <x v="166"/>
    <x v="414"/>
    <x v="165"/>
    <x v="15"/>
  </r>
  <r>
    <x v="0"/>
    <x v="39"/>
    <x v="39"/>
    <x v="15"/>
    <x v="15"/>
    <x v="15"/>
    <x v="17"/>
    <x v="462"/>
    <x v="258"/>
    <x v="45"/>
    <x v="281"/>
    <x v="388"/>
    <x v="53"/>
    <x v="15"/>
  </r>
  <r>
    <x v="0"/>
    <x v="39"/>
    <x v="39"/>
    <x v="14"/>
    <x v="14"/>
    <x v="14"/>
    <x v="18"/>
    <x v="480"/>
    <x v="437"/>
    <x v="56"/>
    <x v="15"/>
    <x v="380"/>
    <x v="323"/>
    <x v="15"/>
  </r>
  <r>
    <x v="0"/>
    <x v="39"/>
    <x v="39"/>
    <x v="16"/>
    <x v="16"/>
    <x v="16"/>
    <x v="19"/>
    <x v="481"/>
    <x v="449"/>
    <x v="65"/>
    <x v="60"/>
    <x v="398"/>
    <x v="9"/>
    <x v="15"/>
  </r>
  <r>
    <x v="0"/>
    <x v="39"/>
    <x v="39"/>
    <x v="27"/>
    <x v="27"/>
    <x v="27"/>
    <x v="19"/>
    <x v="481"/>
    <x v="449"/>
    <x v="55"/>
    <x v="84"/>
    <x v="412"/>
    <x v="236"/>
    <x v="3"/>
  </r>
  <r>
    <x v="0"/>
    <x v="39"/>
    <x v="39"/>
    <x v="25"/>
    <x v="25"/>
    <x v="25"/>
    <x v="19"/>
    <x v="481"/>
    <x v="449"/>
    <x v="147"/>
    <x v="45"/>
    <x v="415"/>
    <x v="223"/>
    <x v="3"/>
  </r>
  <r>
    <x v="0"/>
    <x v="40"/>
    <x v="40"/>
    <x v="0"/>
    <x v="0"/>
    <x v="0"/>
    <x v="0"/>
    <x v="202"/>
    <x v="450"/>
    <x v="144"/>
    <x v="462"/>
    <x v="195"/>
    <x v="421"/>
    <x v="15"/>
  </r>
  <r>
    <x v="0"/>
    <x v="40"/>
    <x v="40"/>
    <x v="1"/>
    <x v="1"/>
    <x v="1"/>
    <x v="1"/>
    <x v="164"/>
    <x v="451"/>
    <x v="115"/>
    <x v="463"/>
    <x v="383"/>
    <x v="137"/>
    <x v="15"/>
  </r>
  <r>
    <x v="0"/>
    <x v="40"/>
    <x v="40"/>
    <x v="3"/>
    <x v="3"/>
    <x v="3"/>
    <x v="2"/>
    <x v="367"/>
    <x v="452"/>
    <x v="223"/>
    <x v="464"/>
    <x v="363"/>
    <x v="422"/>
    <x v="15"/>
  </r>
  <r>
    <x v="0"/>
    <x v="40"/>
    <x v="40"/>
    <x v="4"/>
    <x v="4"/>
    <x v="4"/>
    <x v="3"/>
    <x v="274"/>
    <x v="453"/>
    <x v="80"/>
    <x v="465"/>
    <x v="284"/>
    <x v="423"/>
    <x v="15"/>
  </r>
  <r>
    <x v="0"/>
    <x v="40"/>
    <x v="40"/>
    <x v="5"/>
    <x v="5"/>
    <x v="5"/>
    <x v="4"/>
    <x v="309"/>
    <x v="454"/>
    <x v="172"/>
    <x v="466"/>
    <x v="395"/>
    <x v="193"/>
    <x v="15"/>
  </r>
  <r>
    <x v="0"/>
    <x v="40"/>
    <x v="40"/>
    <x v="9"/>
    <x v="9"/>
    <x v="9"/>
    <x v="5"/>
    <x v="497"/>
    <x v="455"/>
    <x v="75"/>
    <x v="467"/>
    <x v="413"/>
    <x v="100"/>
    <x v="15"/>
  </r>
  <r>
    <x v="0"/>
    <x v="40"/>
    <x v="40"/>
    <x v="2"/>
    <x v="2"/>
    <x v="2"/>
    <x v="6"/>
    <x v="498"/>
    <x v="308"/>
    <x v="53"/>
    <x v="468"/>
    <x v="284"/>
    <x v="423"/>
    <x v="15"/>
  </r>
  <r>
    <x v="0"/>
    <x v="40"/>
    <x v="40"/>
    <x v="8"/>
    <x v="8"/>
    <x v="8"/>
    <x v="7"/>
    <x v="424"/>
    <x v="244"/>
    <x v="44"/>
    <x v="469"/>
    <x v="419"/>
    <x v="244"/>
    <x v="15"/>
  </r>
  <r>
    <x v="0"/>
    <x v="40"/>
    <x v="40"/>
    <x v="7"/>
    <x v="7"/>
    <x v="7"/>
    <x v="8"/>
    <x v="436"/>
    <x v="309"/>
    <x v="50"/>
    <x v="347"/>
    <x v="388"/>
    <x v="424"/>
    <x v="15"/>
  </r>
  <r>
    <x v="0"/>
    <x v="40"/>
    <x v="40"/>
    <x v="11"/>
    <x v="11"/>
    <x v="11"/>
    <x v="9"/>
    <x v="478"/>
    <x v="157"/>
    <x v="158"/>
    <x v="470"/>
    <x v="375"/>
    <x v="135"/>
    <x v="15"/>
  </r>
  <r>
    <x v="0"/>
    <x v="40"/>
    <x v="40"/>
    <x v="10"/>
    <x v="10"/>
    <x v="10"/>
    <x v="10"/>
    <x v="499"/>
    <x v="117"/>
    <x v="48"/>
    <x v="428"/>
    <x v="289"/>
    <x v="23"/>
    <x v="15"/>
  </r>
  <r>
    <x v="0"/>
    <x v="40"/>
    <x v="40"/>
    <x v="13"/>
    <x v="13"/>
    <x v="13"/>
    <x v="11"/>
    <x v="453"/>
    <x v="118"/>
    <x v="54"/>
    <x v="136"/>
    <x v="396"/>
    <x v="425"/>
    <x v="15"/>
  </r>
  <r>
    <x v="0"/>
    <x v="40"/>
    <x v="40"/>
    <x v="6"/>
    <x v="6"/>
    <x v="6"/>
    <x v="12"/>
    <x v="500"/>
    <x v="49"/>
    <x v="47"/>
    <x v="471"/>
    <x v="390"/>
    <x v="82"/>
    <x v="15"/>
  </r>
  <r>
    <x v="0"/>
    <x v="40"/>
    <x v="40"/>
    <x v="12"/>
    <x v="12"/>
    <x v="12"/>
    <x v="13"/>
    <x v="440"/>
    <x v="197"/>
    <x v="45"/>
    <x v="114"/>
    <x v="342"/>
    <x v="334"/>
    <x v="15"/>
  </r>
  <r>
    <x v="0"/>
    <x v="40"/>
    <x v="40"/>
    <x v="14"/>
    <x v="14"/>
    <x v="14"/>
    <x v="14"/>
    <x v="460"/>
    <x v="85"/>
    <x v="55"/>
    <x v="103"/>
    <x v="393"/>
    <x v="48"/>
    <x v="15"/>
  </r>
  <r>
    <x v="0"/>
    <x v="40"/>
    <x v="40"/>
    <x v="44"/>
    <x v="44"/>
    <x v="44"/>
    <x v="15"/>
    <x v="481"/>
    <x v="187"/>
    <x v="65"/>
    <x v="60"/>
    <x v="398"/>
    <x v="174"/>
    <x v="15"/>
  </r>
  <r>
    <x v="0"/>
    <x v="40"/>
    <x v="40"/>
    <x v="17"/>
    <x v="17"/>
    <x v="17"/>
    <x v="16"/>
    <x v="494"/>
    <x v="123"/>
    <x v="65"/>
    <x v="60"/>
    <x v="380"/>
    <x v="165"/>
    <x v="15"/>
  </r>
  <r>
    <x v="0"/>
    <x v="40"/>
    <x v="40"/>
    <x v="18"/>
    <x v="18"/>
    <x v="18"/>
    <x v="16"/>
    <x v="494"/>
    <x v="123"/>
    <x v="55"/>
    <x v="103"/>
    <x v="343"/>
    <x v="113"/>
    <x v="15"/>
  </r>
  <r>
    <x v="0"/>
    <x v="40"/>
    <x v="40"/>
    <x v="16"/>
    <x v="16"/>
    <x v="16"/>
    <x v="18"/>
    <x v="501"/>
    <x v="437"/>
    <x v="48"/>
    <x v="428"/>
    <x v="343"/>
    <x v="113"/>
    <x v="15"/>
  </r>
  <r>
    <x v="0"/>
    <x v="40"/>
    <x v="40"/>
    <x v="15"/>
    <x v="15"/>
    <x v="15"/>
    <x v="18"/>
    <x v="501"/>
    <x v="437"/>
    <x v="65"/>
    <x v="60"/>
    <x v="375"/>
    <x v="135"/>
    <x v="15"/>
  </r>
  <r>
    <x v="0"/>
    <x v="40"/>
    <x v="40"/>
    <x v="27"/>
    <x v="27"/>
    <x v="27"/>
    <x v="18"/>
    <x v="501"/>
    <x v="437"/>
    <x v="101"/>
    <x v="472"/>
    <x v="420"/>
    <x v="161"/>
    <x v="15"/>
  </r>
  <r>
    <x v="0"/>
    <x v="41"/>
    <x v="41"/>
    <x v="1"/>
    <x v="1"/>
    <x v="1"/>
    <x v="0"/>
    <x v="315"/>
    <x v="456"/>
    <x v="71"/>
    <x v="473"/>
    <x v="421"/>
    <x v="149"/>
    <x v="15"/>
  </r>
  <r>
    <x v="0"/>
    <x v="41"/>
    <x v="41"/>
    <x v="3"/>
    <x v="3"/>
    <x v="3"/>
    <x v="1"/>
    <x v="133"/>
    <x v="457"/>
    <x v="279"/>
    <x v="474"/>
    <x v="412"/>
    <x v="146"/>
    <x v="15"/>
  </r>
  <r>
    <x v="0"/>
    <x v="41"/>
    <x v="41"/>
    <x v="4"/>
    <x v="4"/>
    <x v="4"/>
    <x v="2"/>
    <x v="502"/>
    <x v="458"/>
    <x v="53"/>
    <x v="475"/>
    <x v="365"/>
    <x v="426"/>
    <x v="15"/>
  </r>
  <r>
    <x v="0"/>
    <x v="41"/>
    <x v="41"/>
    <x v="0"/>
    <x v="0"/>
    <x v="0"/>
    <x v="3"/>
    <x v="503"/>
    <x v="459"/>
    <x v="81"/>
    <x v="425"/>
    <x v="378"/>
    <x v="427"/>
    <x v="15"/>
  </r>
  <r>
    <x v="0"/>
    <x v="41"/>
    <x v="41"/>
    <x v="8"/>
    <x v="8"/>
    <x v="8"/>
    <x v="4"/>
    <x v="477"/>
    <x v="460"/>
    <x v="103"/>
    <x v="476"/>
    <x v="370"/>
    <x v="428"/>
    <x v="15"/>
  </r>
  <r>
    <x v="0"/>
    <x v="41"/>
    <x v="41"/>
    <x v="5"/>
    <x v="5"/>
    <x v="5"/>
    <x v="5"/>
    <x v="453"/>
    <x v="461"/>
    <x v="199"/>
    <x v="477"/>
    <x v="319"/>
    <x v="392"/>
    <x v="15"/>
  </r>
  <r>
    <x v="0"/>
    <x v="41"/>
    <x v="41"/>
    <x v="10"/>
    <x v="10"/>
    <x v="10"/>
    <x v="6"/>
    <x v="437"/>
    <x v="462"/>
    <x v="44"/>
    <x v="211"/>
    <x v="414"/>
    <x v="429"/>
    <x v="15"/>
  </r>
  <r>
    <x v="0"/>
    <x v="41"/>
    <x v="41"/>
    <x v="6"/>
    <x v="6"/>
    <x v="6"/>
    <x v="7"/>
    <x v="439"/>
    <x v="463"/>
    <x v="54"/>
    <x v="478"/>
    <x v="388"/>
    <x v="430"/>
    <x v="15"/>
  </r>
  <r>
    <x v="0"/>
    <x v="41"/>
    <x v="41"/>
    <x v="18"/>
    <x v="18"/>
    <x v="18"/>
    <x v="8"/>
    <x v="440"/>
    <x v="231"/>
    <x v="103"/>
    <x v="476"/>
    <x v="343"/>
    <x v="46"/>
    <x v="15"/>
  </r>
  <r>
    <x v="0"/>
    <x v="41"/>
    <x v="41"/>
    <x v="11"/>
    <x v="11"/>
    <x v="11"/>
    <x v="9"/>
    <x v="375"/>
    <x v="464"/>
    <x v="103"/>
    <x v="476"/>
    <x v="389"/>
    <x v="185"/>
    <x v="15"/>
  </r>
  <r>
    <x v="0"/>
    <x v="41"/>
    <x v="41"/>
    <x v="9"/>
    <x v="9"/>
    <x v="9"/>
    <x v="10"/>
    <x v="460"/>
    <x v="385"/>
    <x v="113"/>
    <x v="115"/>
    <x v="422"/>
    <x v="431"/>
    <x v="15"/>
  </r>
  <r>
    <x v="0"/>
    <x v="41"/>
    <x v="41"/>
    <x v="7"/>
    <x v="7"/>
    <x v="7"/>
    <x v="11"/>
    <x v="464"/>
    <x v="465"/>
    <x v="78"/>
    <x v="479"/>
    <x v="420"/>
    <x v="215"/>
    <x v="15"/>
  </r>
  <r>
    <x v="0"/>
    <x v="41"/>
    <x v="41"/>
    <x v="12"/>
    <x v="12"/>
    <x v="12"/>
    <x v="12"/>
    <x v="504"/>
    <x v="466"/>
    <x v="66"/>
    <x v="226"/>
    <x v="375"/>
    <x v="203"/>
    <x v="15"/>
  </r>
  <r>
    <x v="0"/>
    <x v="41"/>
    <x v="41"/>
    <x v="2"/>
    <x v="2"/>
    <x v="2"/>
    <x v="12"/>
    <x v="504"/>
    <x v="466"/>
    <x v="74"/>
    <x v="480"/>
    <x v="422"/>
    <x v="431"/>
    <x v="15"/>
  </r>
  <r>
    <x v="0"/>
    <x v="41"/>
    <x v="41"/>
    <x v="13"/>
    <x v="13"/>
    <x v="13"/>
    <x v="14"/>
    <x v="501"/>
    <x v="197"/>
    <x v="45"/>
    <x v="481"/>
    <x v="423"/>
    <x v="432"/>
    <x v="15"/>
  </r>
  <r>
    <x v="0"/>
    <x v="41"/>
    <x v="41"/>
    <x v="27"/>
    <x v="27"/>
    <x v="27"/>
    <x v="15"/>
    <x v="505"/>
    <x v="18"/>
    <x v="56"/>
    <x v="179"/>
    <x v="418"/>
    <x v="76"/>
    <x v="15"/>
  </r>
  <r>
    <x v="0"/>
    <x v="41"/>
    <x v="41"/>
    <x v="16"/>
    <x v="16"/>
    <x v="16"/>
    <x v="16"/>
    <x v="506"/>
    <x v="467"/>
    <x v="66"/>
    <x v="226"/>
    <x v="418"/>
    <x v="76"/>
    <x v="15"/>
  </r>
  <r>
    <x v="0"/>
    <x v="41"/>
    <x v="41"/>
    <x v="45"/>
    <x v="45"/>
    <x v="45"/>
    <x v="16"/>
    <x v="506"/>
    <x v="467"/>
    <x v="66"/>
    <x v="226"/>
    <x v="418"/>
    <x v="76"/>
    <x v="15"/>
  </r>
  <r>
    <x v="0"/>
    <x v="41"/>
    <x v="41"/>
    <x v="21"/>
    <x v="21"/>
    <x v="21"/>
    <x v="18"/>
    <x v="507"/>
    <x v="468"/>
    <x v="66"/>
    <x v="226"/>
    <x v="319"/>
    <x v="392"/>
    <x v="15"/>
  </r>
  <r>
    <x v="0"/>
    <x v="41"/>
    <x v="41"/>
    <x v="30"/>
    <x v="30"/>
    <x v="30"/>
    <x v="19"/>
    <x v="508"/>
    <x v="348"/>
    <x v="48"/>
    <x v="31"/>
    <x v="310"/>
    <x v="242"/>
    <x v="15"/>
  </r>
  <r>
    <x v="0"/>
    <x v="41"/>
    <x v="41"/>
    <x v="15"/>
    <x v="15"/>
    <x v="15"/>
    <x v="19"/>
    <x v="508"/>
    <x v="348"/>
    <x v="66"/>
    <x v="226"/>
    <x v="420"/>
    <x v="215"/>
    <x v="15"/>
  </r>
  <r>
    <x v="0"/>
    <x v="42"/>
    <x v="42"/>
    <x v="0"/>
    <x v="0"/>
    <x v="0"/>
    <x v="0"/>
    <x v="509"/>
    <x v="469"/>
    <x v="88"/>
    <x v="482"/>
    <x v="67"/>
    <x v="433"/>
    <x v="15"/>
  </r>
  <r>
    <x v="0"/>
    <x v="42"/>
    <x v="42"/>
    <x v="1"/>
    <x v="1"/>
    <x v="1"/>
    <x v="1"/>
    <x v="207"/>
    <x v="470"/>
    <x v="320"/>
    <x v="483"/>
    <x v="342"/>
    <x v="434"/>
    <x v="15"/>
  </r>
  <r>
    <x v="0"/>
    <x v="42"/>
    <x v="42"/>
    <x v="3"/>
    <x v="3"/>
    <x v="3"/>
    <x v="2"/>
    <x v="133"/>
    <x v="471"/>
    <x v="321"/>
    <x v="484"/>
    <x v="386"/>
    <x v="435"/>
    <x v="15"/>
  </r>
  <r>
    <x v="0"/>
    <x v="42"/>
    <x v="42"/>
    <x v="6"/>
    <x v="6"/>
    <x v="6"/>
    <x v="3"/>
    <x v="502"/>
    <x v="472"/>
    <x v="92"/>
    <x v="289"/>
    <x v="378"/>
    <x v="436"/>
    <x v="15"/>
  </r>
  <r>
    <x v="0"/>
    <x v="42"/>
    <x v="42"/>
    <x v="8"/>
    <x v="8"/>
    <x v="8"/>
    <x v="4"/>
    <x v="467"/>
    <x v="473"/>
    <x v="101"/>
    <x v="485"/>
    <x v="392"/>
    <x v="437"/>
    <x v="15"/>
  </r>
  <r>
    <x v="0"/>
    <x v="42"/>
    <x v="42"/>
    <x v="10"/>
    <x v="10"/>
    <x v="10"/>
    <x v="5"/>
    <x v="411"/>
    <x v="474"/>
    <x v="76"/>
    <x v="211"/>
    <x v="411"/>
    <x v="438"/>
    <x v="15"/>
  </r>
  <r>
    <x v="0"/>
    <x v="42"/>
    <x v="42"/>
    <x v="4"/>
    <x v="4"/>
    <x v="4"/>
    <x v="6"/>
    <x v="510"/>
    <x v="300"/>
    <x v="110"/>
    <x v="411"/>
    <x v="398"/>
    <x v="302"/>
    <x v="15"/>
  </r>
  <r>
    <x v="0"/>
    <x v="42"/>
    <x v="42"/>
    <x v="7"/>
    <x v="7"/>
    <x v="7"/>
    <x v="7"/>
    <x v="484"/>
    <x v="192"/>
    <x v="50"/>
    <x v="380"/>
    <x v="397"/>
    <x v="439"/>
    <x v="15"/>
  </r>
  <r>
    <x v="0"/>
    <x v="42"/>
    <x v="42"/>
    <x v="5"/>
    <x v="5"/>
    <x v="5"/>
    <x v="8"/>
    <x v="459"/>
    <x v="80"/>
    <x v="314"/>
    <x v="486"/>
    <x v="420"/>
    <x v="319"/>
    <x v="15"/>
  </r>
  <r>
    <x v="0"/>
    <x v="42"/>
    <x v="42"/>
    <x v="2"/>
    <x v="2"/>
    <x v="2"/>
    <x v="9"/>
    <x v="486"/>
    <x v="26"/>
    <x v="81"/>
    <x v="100"/>
    <x v="414"/>
    <x v="128"/>
    <x v="15"/>
  </r>
  <r>
    <x v="0"/>
    <x v="42"/>
    <x v="42"/>
    <x v="13"/>
    <x v="13"/>
    <x v="13"/>
    <x v="10"/>
    <x v="439"/>
    <x v="475"/>
    <x v="76"/>
    <x v="211"/>
    <x v="393"/>
    <x v="280"/>
    <x v="15"/>
  </r>
  <r>
    <x v="0"/>
    <x v="42"/>
    <x v="42"/>
    <x v="9"/>
    <x v="9"/>
    <x v="9"/>
    <x v="10"/>
    <x v="439"/>
    <x v="475"/>
    <x v="46"/>
    <x v="87"/>
    <x v="412"/>
    <x v="262"/>
    <x v="15"/>
  </r>
  <r>
    <x v="0"/>
    <x v="42"/>
    <x v="42"/>
    <x v="18"/>
    <x v="18"/>
    <x v="18"/>
    <x v="12"/>
    <x v="440"/>
    <x v="476"/>
    <x v="137"/>
    <x v="134"/>
    <x v="375"/>
    <x v="440"/>
    <x v="15"/>
  </r>
  <r>
    <x v="0"/>
    <x v="42"/>
    <x v="42"/>
    <x v="15"/>
    <x v="15"/>
    <x v="15"/>
    <x v="13"/>
    <x v="504"/>
    <x v="136"/>
    <x v="47"/>
    <x v="243"/>
    <x v="421"/>
    <x v="130"/>
    <x v="15"/>
  </r>
  <r>
    <x v="0"/>
    <x v="42"/>
    <x v="42"/>
    <x v="14"/>
    <x v="14"/>
    <x v="14"/>
    <x v="14"/>
    <x v="511"/>
    <x v="178"/>
    <x v="65"/>
    <x v="60"/>
    <x v="343"/>
    <x v="150"/>
    <x v="3"/>
  </r>
  <r>
    <x v="0"/>
    <x v="42"/>
    <x v="42"/>
    <x v="11"/>
    <x v="11"/>
    <x v="11"/>
    <x v="15"/>
    <x v="512"/>
    <x v="477"/>
    <x v="47"/>
    <x v="243"/>
    <x v="395"/>
    <x v="205"/>
    <x v="15"/>
  </r>
  <r>
    <x v="0"/>
    <x v="42"/>
    <x v="42"/>
    <x v="19"/>
    <x v="19"/>
    <x v="19"/>
    <x v="16"/>
    <x v="377"/>
    <x v="467"/>
    <x v="66"/>
    <x v="16"/>
    <x v="421"/>
    <x v="130"/>
    <x v="15"/>
  </r>
  <r>
    <x v="0"/>
    <x v="42"/>
    <x v="42"/>
    <x v="12"/>
    <x v="12"/>
    <x v="12"/>
    <x v="16"/>
    <x v="377"/>
    <x v="467"/>
    <x v="65"/>
    <x v="60"/>
    <x v="386"/>
    <x v="435"/>
    <x v="15"/>
  </r>
  <r>
    <x v="0"/>
    <x v="42"/>
    <x v="42"/>
    <x v="21"/>
    <x v="21"/>
    <x v="21"/>
    <x v="18"/>
    <x v="513"/>
    <x v="369"/>
    <x v="55"/>
    <x v="135"/>
    <x v="418"/>
    <x v="441"/>
    <x v="15"/>
  </r>
  <r>
    <x v="0"/>
    <x v="42"/>
    <x v="42"/>
    <x v="27"/>
    <x v="27"/>
    <x v="27"/>
    <x v="18"/>
    <x v="513"/>
    <x v="369"/>
    <x v="44"/>
    <x v="245"/>
    <x v="310"/>
    <x v="223"/>
    <x v="15"/>
  </r>
  <r>
    <x v="0"/>
    <x v="43"/>
    <x v="43"/>
    <x v="1"/>
    <x v="1"/>
    <x v="1"/>
    <x v="0"/>
    <x v="443"/>
    <x v="189"/>
    <x v="294"/>
    <x v="487"/>
    <x v="342"/>
    <x v="67"/>
    <x v="15"/>
  </r>
  <r>
    <x v="0"/>
    <x v="43"/>
    <x v="43"/>
    <x v="3"/>
    <x v="3"/>
    <x v="3"/>
    <x v="1"/>
    <x v="315"/>
    <x v="478"/>
    <x v="156"/>
    <x v="488"/>
    <x v="414"/>
    <x v="442"/>
    <x v="15"/>
  </r>
  <r>
    <x v="0"/>
    <x v="43"/>
    <x v="43"/>
    <x v="6"/>
    <x v="6"/>
    <x v="6"/>
    <x v="2"/>
    <x v="514"/>
    <x v="325"/>
    <x v="199"/>
    <x v="489"/>
    <x v="162"/>
    <x v="443"/>
    <x v="15"/>
  </r>
  <r>
    <x v="0"/>
    <x v="43"/>
    <x v="43"/>
    <x v="0"/>
    <x v="0"/>
    <x v="0"/>
    <x v="3"/>
    <x v="307"/>
    <x v="479"/>
    <x v="56"/>
    <x v="90"/>
    <x v="162"/>
    <x v="443"/>
    <x v="15"/>
  </r>
  <r>
    <x v="0"/>
    <x v="43"/>
    <x v="43"/>
    <x v="8"/>
    <x v="8"/>
    <x v="8"/>
    <x v="4"/>
    <x v="476"/>
    <x v="480"/>
    <x v="136"/>
    <x v="309"/>
    <x v="424"/>
    <x v="444"/>
    <x v="15"/>
  </r>
  <r>
    <x v="0"/>
    <x v="43"/>
    <x v="43"/>
    <x v="10"/>
    <x v="10"/>
    <x v="10"/>
    <x v="5"/>
    <x v="317"/>
    <x v="481"/>
    <x v="147"/>
    <x v="490"/>
    <x v="330"/>
    <x v="445"/>
    <x v="15"/>
  </r>
  <r>
    <x v="0"/>
    <x v="43"/>
    <x v="43"/>
    <x v="4"/>
    <x v="4"/>
    <x v="4"/>
    <x v="6"/>
    <x v="319"/>
    <x v="482"/>
    <x v="322"/>
    <x v="491"/>
    <x v="383"/>
    <x v="446"/>
    <x v="15"/>
  </r>
  <r>
    <x v="0"/>
    <x v="43"/>
    <x v="43"/>
    <x v="9"/>
    <x v="9"/>
    <x v="9"/>
    <x v="7"/>
    <x v="433"/>
    <x v="425"/>
    <x v="75"/>
    <x v="492"/>
    <x v="421"/>
    <x v="200"/>
    <x v="15"/>
  </r>
  <r>
    <x v="0"/>
    <x v="43"/>
    <x v="43"/>
    <x v="5"/>
    <x v="5"/>
    <x v="5"/>
    <x v="8"/>
    <x v="411"/>
    <x v="436"/>
    <x v="259"/>
    <x v="493"/>
    <x v="422"/>
    <x v="447"/>
    <x v="15"/>
  </r>
  <r>
    <x v="0"/>
    <x v="43"/>
    <x v="43"/>
    <x v="7"/>
    <x v="7"/>
    <x v="7"/>
    <x v="9"/>
    <x v="510"/>
    <x v="338"/>
    <x v="258"/>
    <x v="230"/>
    <x v="412"/>
    <x v="89"/>
    <x v="15"/>
  </r>
  <r>
    <x v="0"/>
    <x v="43"/>
    <x v="43"/>
    <x v="2"/>
    <x v="2"/>
    <x v="2"/>
    <x v="10"/>
    <x v="413"/>
    <x v="168"/>
    <x v="158"/>
    <x v="494"/>
    <x v="385"/>
    <x v="448"/>
    <x v="15"/>
  </r>
  <r>
    <x v="0"/>
    <x v="43"/>
    <x v="43"/>
    <x v="18"/>
    <x v="18"/>
    <x v="18"/>
    <x v="11"/>
    <x v="499"/>
    <x v="483"/>
    <x v="102"/>
    <x v="495"/>
    <x v="397"/>
    <x v="281"/>
    <x v="15"/>
  </r>
  <r>
    <x v="0"/>
    <x v="43"/>
    <x v="43"/>
    <x v="12"/>
    <x v="12"/>
    <x v="12"/>
    <x v="12"/>
    <x v="440"/>
    <x v="174"/>
    <x v="66"/>
    <x v="360"/>
    <x v="390"/>
    <x v="434"/>
    <x v="15"/>
  </r>
  <r>
    <x v="0"/>
    <x v="43"/>
    <x v="43"/>
    <x v="13"/>
    <x v="13"/>
    <x v="13"/>
    <x v="13"/>
    <x v="461"/>
    <x v="484"/>
    <x v="147"/>
    <x v="490"/>
    <x v="412"/>
    <x v="89"/>
    <x v="15"/>
  </r>
  <r>
    <x v="0"/>
    <x v="43"/>
    <x v="43"/>
    <x v="27"/>
    <x v="27"/>
    <x v="27"/>
    <x v="14"/>
    <x v="480"/>
    <x v="103"/>
    <x v="137"/>
    <x v="147"/>
    <x v="395"/>
    <x v="290"/>
    <x v="15"/>
  </r>
  <r>
    <x v="0"/>
    <x v="43"/>
    <x v="43"/>
    <x v="14"/>
    <x v="14"/>
    <x v="14"/>
    <x v="15"/>
    <x v="481"/>
    <x v="293"/>
    <x v="56"/>
    <x v="90"/>
    <x v="397"/>
    <x v="281"/>
    <x v="15"/>
  </r>
  <r>
    <x v="0"/>
    <x v="43"/>
    <x v="43"/>
    <x v="44"/>
    <x v="44"/>
    <x v="44"/>
    <x v="16"/>
    <x v="504"/>
    <x v="123"/>
    <x v="66"/>
    <x v="360"/>
    <x v="386"/>
    <x v="28"/>
    <x v="15"/>
  </r>
  <r>
    <x v="0"/>
    <x v="43"/>
    <x v="43"/>
    <x v="11"/>
    <x v="11"/>
    <x v="11"/>
    <x v="17"/>
    <x v="515"/>
    <x v="357"/>
    <x v="81"/>
    <x v="133"/>
    <x v="310"/>
    <x v="449"/>
    <x v="15"/>
  </r>
  <r>
    <x v="0"/>
    <x v="43"/>
    <x v="43"/>
    <x v="15"/>
    <x v="15"/>
    <x v="15"/>
    <x v="18"/>
    <x v="377"/>
    <x v="358"/>
    <x v="66"/>
    <x v="360"/>
    <x v="421"/>
    <x v="200"/>
    <x v="15"/>
  </r>
  <r>
    <x v="0"/>
    <x v="43"/>
    <x v="43"/>
    <x v="45"/>
    <x v="45"/>
    <x v="45"/>
    <x v="18"/>
    <x v="377"/>
    <x v="358"/>
    <x v="45"/>
    <x v="436"/>
    <x v="418"/>
    <x v="450"/>
    <x v="15"/>
  </r>
  <r>
    <x v="0"/>
    <x v="44"/>
    <x v="44"/>
    <x v="3"/>
    <x v="3"/>
    <x v="3"/>
    <x v="0"/>
    <x v="516"/>
    <x v="485"/>
    <x v="323"/>
    <x v="496"/>
    <x v="396"/>
    <x v="423"/>
    <x v="15"/>
  </r>
  <r>
    <x v="0"/>
    <x v="44"/>
    <x v="44"/>
    <x v="1"/>
    <x v="1"/>
    <x v="1"/>
    <x v="1"/>
    <x v="405"/>
    <x v="486"/>
    <x v="324"/>
    <x v="497"/>
    <x v="380"/>
    <x v="451"/>
    <x v="15"/>
  </r>
  <r>
    <x v="0"/>
    <x v="44"/>
    <x v="44"/>
    <x v="0"/>
    <x v="0"/>
    <x v="0"/>
    <x v="2"/>
    <x v="409"/>
    <x v="352"/>
    <x v="102"/>
    <x v="354"/>
    <x v="276"/>
    <x v="452"/>
    <x v="15"/>
  </r>
  <r>
    <x v="0"/>
    <x v="44"/>
    <x v="44"/>
    <x v="4"/>
    <x v="4"/>
    <x v="4"/>
    <x v="3"/>
    <x v="420"/>
    <x v="487"/>
    <x v="117"/>
    <x v="498"/>
    <x v="390"/>
    <x v="2"/>
    <x v="15"/>
  </r>
  <r>
    <x v="0"/>
    <x v="44"/>
    <x v="44"/>
    <x v="9"/>
    <x v="9"/>
    <x v="9"/>
    <x v="4"/>
    <x v="455"/>
    <x v="488"/>
    <x v="79"/>
    <x v="499"/>
    <x v="421"/>
    <x v="183"/>
    <x v="15"/>
  </r>
  <r>
    <x v="0"/>
    <x v="44"/>
    <x v="44"/>
    <x v="8"/>
    <x v="8"/>
    <x v="8"/>
    <x v="5"/>
    <x v="458"/>
    <x v="489"/>
    <x v="81"/>
    <x v="100"/>
    <x v="394"/>
    <x v="453"/>
    <x v="15"/>
  </r>
  <r>
    <x v="0"/>
    <x v="44"/>
    <x v="44"/>
    <x v="7"/>
    <x v="7"/>
    <x v="7"/>
    <x v="6"/>
    <x v="510"/>
    <x v="490"/>
    <x v="117"/>
    <x v="498"/>
    <x v="389"/>
    <x v="3"/>
    <x v="15"/>
  </r>
  <r>
    <x v="0"/>
    <x v="44"/>
    <x v="44"/>
    <x v="6"/>
    <x v="6"/>
    <x v="6"/>
    <x v="7"/>
    <x v="412"/>
    <x v="491"/>
    <x v="54"/>
    <x v="500"/>
    <x v="373"/>
    <x v="398"/>
    <x v="15"/>
  </r>
  <r>
    <x v="0"/>
    <x v="44"/>
    <x v="44"/>
    <x v="10"/>
    <x v="10"/>
    <x v="10"/>
    <x v="7"/>
    <x v="412"/>
    <x v="491"/>
    <x v="76"/>
    <x v="211"/>
    <x v="291"/>
    <x v="454"/>
    <x v="15"/>
  </r>
  <r>
    <x v="0"/>
    <x v="44"/>
    <x v="44"/>
    <x v="5"/>
    <x v="5"/>
    <x v="5"/>
    <x v="9"/>
    <x v="479"/>
    <x v="141"/>
    <x v="322"/>
    <x v="501"/>
    <x v="422"/>
    <x v="455"/>
    <x v="15"/>
  </r>
  <r>
    <x v="0"/>
    <x v="44"/>
    <x v="44"/>
    <x v="44"/>
    <x v="44"/>
    <x v="44"/>
    <x v="10"/>
    <x v="437"/>
    <x v="492"/>
    <x v="56"/>
    <x v="55"/>
    <x v="343"/>
    <x v="456"/>
    <x v="15"/>
  </r>
  <r>
    <x v="0"/>
    <x v="44"/>
    <x v="44"/>
    <x v="13"/>
    <x v="13"/>
    <x v="13"/>
    <x v="11"/>
    <x v="464"/>
    <x v="69"/>
    <x v="81"/>
    <x v="100"/>
    <x v="389"/>
    <x v="3"/>
    <x v="15"/>
  </r>
  <r>
    <x v="0"/>
    <x v="44"/>
    <x v="44"/>
    <x v="2"/>
    <x v="2"/>
    <x v="2"/>
    <x v="12"/>
    <x v="480"/>
    <x v="493"/>
    <x v="54"/>
    <x v="500"/>
    <x v="415"/>
    <x v="142"/>
    <x v="15"/>
  </r>
  <r>
    <x v="0"/>
    <x v="44"/>
    <x v="44"/>
    <x v="12"/>
    <x v="12"/>
    <x v="12"/>
    <x v="13"/>
    <x v="517"/>
    <x v="52"/>
    <x v="66"/>
    <x v="16"/>
    <x v="380"/>
    <x v="451"/>
    <x v="15"/>
  </r>
  <r>
    <x v="0"/>
    <x v="44"/>
    <x v="44"/>
    <x v="18"/>
    <x v="18"/>
    <x v="18"/>
    <x v="14"/>
    <x v="504"/>
    <x v="177"/>
    <x v="101"/>
    <x v="485"/>
    <x v="319"/>
    <x v="404"/>
    <x v="15"/>
  </r>
  <r>
    <x v="0"/>
    <x v="44"/>
    <x v="44"/>
    <x v="11"/>
    <x v="11"/>
    <x v="11"/>
    <x v="15"/>
    <x v="512"/>
    <x v="137"/>
    <x v="101"/>
    <x v="485"/>
    <x v="422"/>
    <x v="455"/>
    <x v="15"/>
  </r>
  <r>
    <x v="0"/>
    <x v="44"/>
    <x v="44"/>
    <x v="27"/>
    <x v="27"/>
    <x v="27"/>
    <x v="16"/>
    <x v="515"/>
    <x v="236"/>
    <x v="147"/>
    <x v="502"/>
    <x v="422"/>
    <x v="455"/>
    <x v="15"/>
  </r>
  <r>
    <x v="0"/>
    <x v="44"/>
    <x v="44"/>
    <x v="14"/>
    <x v="14"/>
    <x v="14"/>
    <x v="17"/>
    <x v="377"/>
    <x v="331"/>
    <x v="66"/>
    <x v="16"/>
    <x v="421"/>
    <x v="183"/>
    <x v="15"/>
  </r>
  <r>
    <x v="0"/>
    <x v="44"/>
    <x v="44"/>
    <x v="15"/>
    <x v="15"/>
    <x v="15"/>
    <x v="18"/>
    <x v="518"/>
    <x v="369"/>
    <x v="48"/>
    <x v="351"/>
    <x v="418"/>
    <x v="88"/>
    <x v="15"/>
  </r>
  <r>
    <x v="0"/>
    <x v="44"/>
    <x v="44"/>
    <x v="25"/>
    <x v="25"/>
    <x v="25"/>
    <x v="19"/>
    <x v="506"/>
    <x v="494"/>
    <x v="47"/>
    <x v="329"/>
    <x v="344"/>
    <x v="223"/>
    <x v="15"/>
  </r>
  <r>
    <x v="0"/>
    <x v="45"/>
    <x v="45"/>
    <x v="0"/>
    <x v="0"/>
    <x v="0"/>
    <x v="0"/>
    <x v="126"/>
    <x v="495"/>
    <x v="211"/>
    <x v="503"/>
    <x v="273"/>
    <x v="457"/>
    <x v="3"/>
  </r>
  <r>
    <x v="0"/>
    <x v="45"/>
    <x v="45"/>
    <x v="3"/>
    <x v="3"/>
    <x v="3"/>
    <x v="1"/>
    <x v="165"/>
    <x v="496"/>
    <x v="223"/>
    <x v="504"/>
    <x v="402"/>
    <x v="248"/>
    <x v="15"/>
  </r>
  <r>
    <x v="0"/>
    <x v="45"/>
    <x v="45"/>
    <x v="6"/>
    <x v="6"/>
    <x v="6"/>
    <x v="2"/>
    <x v="314"/>
    <x v="497"/>
    <x v="53"/>
    <x v="394"/>
    <x v="279"/>
    <x v="458"/>
    <x v="15"/>
  </r>
  <r>
    <x v="0"/>
    <x v="45"/>
    <x v="45"/>
    <x v="1"/>
    <x v="1"/>
    <x v="1"/>
    <x v="3"/>
    <x v="519"/>
    <x v="498"/>
    <x v="323"/>
    <x v="505"/>
    <x v="342"/>
    <x v="36"/>
    <x v="15"/>
  </r>
  <r>
    <x v="0"/>
    <x v="45"/>
    <x v="45"/>
    <x v="8"/>
    <x v="8"/>
    <x v="8"/>
    <x v="4"/>
    <x v="209"/>
    <x v="499"/>
    <x v="148"/>
    <x v="506"/>
    <x v="280"/>
    <x v="459"/>
    <x v="15"/>
  </r>
  <r>
    <x v="0"/>
    <x v="45"/>
    <x v="45"/>
    <x v="10"/>
    <x v="10"/>
    <x v="10"/>
    <x v="5"/>
    <x v="210"/>
    <x v="500"/>
    <x v="92"/>
    <x v="507"/>
    <x v="282"/>
    <x v="460"/>
    <x v="15"/>
  </r>
  <r>
    <x v="0"/>
    <x v="45"/>
    <x v="45"/>
    <x v="9"/>
    <x v="9"/>
    <x v="9"/>
    <x v="6"/>
    <x v="309"/>
    <x v="220"/>
    <x v="201"/>
    <x v="508"/>
    <x v="396"/>
    <x v="461"/>
    <x v="15"/>
  </r>
  <r>
    <x v="0"/>
    <x v="45"/>
    <x v="45"/>
    <x v="4"/>
    <x v="4"/>
    <x v="4"/>
    <x v="7"/>
    <x v="457"/>
    <x v="279"/>
    <x v="51"/>
    <x v="509"/>
    <x v="276"/>
    <x v="358"/>
    <x v="15"/>
  </r>
  <r>
    <x v="0"/>
    <x v="45"/>
    <x v="45"/>
    <x v="5"/>
    <x v="5"/>
    <x v="5"/>
    <x v="8"/>
    <x v="502"/>
    <x v="191"/>
    <x v="146"/>
    <x v="510"/>
    <x v="319"/>
    <x v="402"/>
    <x v="15"/>
  </r>
  <r>
    <x v="0"/>
    <x v="45"/>
    <x v="45"/>
    <x v="2"/>
    <x v="2"/>
    <x v="2"/>
    <x v="9"/>
    <x v="413"/>
    <x v="82"/>
    <x v="209"/>
    <x v="511"/>
    <x v="398"/>
    <x v="435"/>
    <x v="15"/>
  </r>
  <r>
    <x v="0"/>
    <x v="45"/>
    <x v="45"/>
    <x v="13"/>
    <x v="13"/>
    <x v="13"/>
    <x v="10"/>
    <x v="477"/>
    <x v="233"/>
    <x v="60"/>
    <x v="512"/>
    <x v="382"/>
    <x v="157"/>
    <x v="15"/>
  </r>
  <r>
    <x v="0"/>
    <x v="45"/>
    <x v="45"/>
    <x v="7"/>
    <x v="7"/>
    <x v="7"/>
    <x v="11"/>
    <x v="479"/>
    <x v="275"/>
    <x v="208"/>
    <x v="513"/>
    <x v="418"/>
    <x v="462"/>
    <x v="15"/>
  </r>
  <r>
    <x v="0"/>
    <x v="45"/>
    <x v="45"/>
    <x v="44"/>
    <x v="44"/>
    <x v="44"/>
    <x v="12"/>
    <x v="438"/>
    <x v="484"/>
    <x v="66"/>
    <x v="166"/>
    <x v="382"/>
    <x v="157"/>
    <x v="15"/>
  </r>
  <r>
    <x v="0"/>
    <x v="45"/>
    <x v="45"/>
    <x v="18"/>
    <x v="18"/>
    <x v="18"/>
    <x v="13"/>
    <x v="440"/>
    <x v="367"/>
    <x v="103"/>
    <x v="410"/>
    <x v="343"/>
    <x v="463"/>
    <x v="15"/>
  </r>
  <r>
    <x v="0"/>
    <x v="45"/>
    <x v="45"/>
    <x v="17"/>
    <x v="17"/>
    <x v="17"/>
    <x v="14"/>
    <x v="460"/>
    <x v="136"/>
    <x v="65"/>
    <x v="60"/>
    <x v="382"/>
    <x v="157"/>
    <x v="15"/>
  </r>
  <r>
    <x v="0"/>
    <x v="45"/>
    <x v="45"/>
    <x v="11"/>
    <x v="11"/>
    <x v="11"/>
    <x v="15"/>
    <x v="376"/>
    <x v="17"/>
    <x v="136"/>
    <x v="144"/>
    <x v="395"/>
    <x v="223"/>
    <x v="15"/>
  </r>
  <r>
    <x v="0"/>
    <x v="45"/>
    <x v="45"/>
    <x v="12"/>
    <x v="12"/>
    <x v="12"/>
    <x v="16"/>
    <x v="461"/>
    <x v="38"/>
    <x v="48"/>
    <x v="14"/>
    <x v="393"/>
    <x v="150"/>
    <x v="15"/>
  </r>
  <r>
    <x v="0"/>
    <x v="45"/>
    <x v="45"/>
    <x v="15"/>
    <x v="15"/>
    <x v="15"/>
    <x v="17"/>
    <x v="462"/>
    <x v="178"/>
    <x v="48"/>
    <x v="14"/>
    <x v="381"/>
    <x v="134"/>
    <x v="15"/>
  </r>
  <r>
    <x v="0"/>
    <x v="45"/>
    <x v="45"/>
    <x v="14"/>
    <x v="14"/>
    <x v="14"/>
    <x v="17"/>
    <x v="462"/>
    <x v="178"/>
    <x v="66"/>
    <x v="166"/>
    <x v="393"/>
    <x v="150"/>
    <x v="15"/>
  </r>
  <r>
    <x v="0"/>
    <x v="45"/>
    <x v="45"/>
    <x v="27"/>
    <x v="27"/>
    <x v="27"/>
    <x v="19"/>
    <x v="504"/>
    <x v="501"/>
    <x v="81"/>
    <x v="514"/>
    <x v="395"/>
    <x v="223"/>
    <x v="15"/>
  </r>
  <r>
    <x v="0"/>
    <x v="46"/>
    <x v="46"/>
    <x v="6"/>
    <x v="6"/>
    <x v="6"/>
    <x v="0"/>
    <x v="520"/>
    <x v="502"/>
    <x v="158"/>
    <x v="515"/>
    <x v="197"/>
    <x v="464"/>
    <x v="15"/>
  </r>
  <r>
    <x v="0"/>
    <x v="46"/>
    <x v="46"/>
    <x v="8"/>
    <x v="8"/>
    <x v="8"/>
    <x v="1"/>
    <x v="211"/>
    <x v="503"/>
    <x v="78"/>
    <x v="516"/>
    <x v="159"/>
    <x v="465"/>
    <x v="15"/>
  </r>
  <r>
    <x v="0"/>
    <x v="46"/>
    <x v="46"/>
    <x v="10"/>
    <x v="10"/>
    <x v="10"/>
    <x v="2"/>
    <x v="307"/>
    <x v="504"/>
    <x v="136"/>
    <x v="517"/>
    <x v="318"/>
    <x v="466"/>
    <x v="15"/>
  </r>
  <r>
    <x v="0"/>
    <x v="46"/>
    <x v="46"/>
    <x v="1"/>
    <x v="1"/>
    <x v="1"/>
    <x v="3"/>
    <x v="445"/>
    <x v="183"/>
    <x v="182"/>
    <x v="518"/>
    <x v="395"/>
    <x v="311"/>
    <x v="15"/>
  </r>
  <r>
    <x v="0"/>
    <x v="46"/>
    <x v="46"/>
    <x v="3"/>
    <x v="3"/>
    <x v="3"/>
    <x v="4"/>
    <x v="521"/>
    <x v="205"/>
    <x v="243"/>
    <x v="519"/>
    <x v="343"/>
    <x v="252"/>
    <x v="15"/>
  </r>
  <r>
    <x v="0"/>
    <x v="46"/>
    <x v="46"/>
    <x v="18"/>
    <x v="18"/>
    <x v="18"/>
    <x v="5"/>
    <x v="522"/>
    <x v="505"/>
    <x v="89"/>
    <x v="520"/>
    <x v="289"/>
    <x v="4"/>
    <x v="15"/>
  </r>
  <r>
    <x v="0"/>
    <x v="46"/>
    <x v="46"/>
    <x v="0"/>
    <x v="0"/>
    <x v="0"/>
    <x v="6"/>
    <x v="468"/>
    <x v="375"/>
    <x v="48"/>
    <x v="12"/>
    <x v="281"/>
    <x v="467"/>
    <x v="15"/>
  </r>
  <r>
    <x v="0"/>
    <x v="46"/>
    <x v="46"/>
    <x v="4"/>
    <x v="4"/>
    <x v="4"/>
    <x v="7"/>
    <x v="477"/>
    <x v="156"/>
    <x v="136"/>
    <x v="517"/>
    <x v="413"/>
    <x v="468"/>
    <x v="15"/>
  </r>
  <r>
    <x v="0"/>
    <x v="46"/>
    <x v="46"/>
    <x v="7"/>
    <x v="7"/>
    <x v="7"/>
    <x v="8"/>
    <x v="426"/>
    <x v="309"/>
    <x v="199"/>
    <x v="521"/>
    <x v="415"/>
    <x v="263"/>
    <x v="15"/>
  </r>
  <r>
    <x v="0"/>
    <x v="46"/>
    <x v="46"/>
    <x v="9"/>
    <x v="9"/>
    <x v="9"/>
    <x v="9"/>
    <x v="459"/>
    <x v="114"/>
    <x v="314"/>
    <x v="522"/>
    <x v="344"/>
    <x v="469"/>
    <x v="3"/>
  </r>
  <r>
    <x v="0"/>
    <x v="46"/>
    <x v="46"/>
    <x v="5"/>
    <x v="5"/>
    <x v="5"/>
    <x v="10"/>
    <x v="500"/>
    <x v="475"/>
    <x v="258"/>
    <x v="523"/>
    <x v="348"/>
    <x v="303"/>
    <x v="15"/>
  </r>
  <r>
    <x v="0"/>
    <x v="46"/>
    <x v="46"/>
    <x v="11"/>
    <x v="11"/>
    <x v="11"/>
    <x v="11"/>
    <x v="439"/>
    <x v="99"/>
    <x v="74"/>
    <x v="524"/>
    <x v="397"/>
    <x v="16"/>
    <x v="15"/>
  </r>
  <r>
    <x v="0"/>
    <x v="46"/>
    <x v="46"/>
    <x v="32"/>
    <x v="32"/>
    <x v="32"/>
    <x v="12"/>
    <x v="460"/>
    <x v="33"/>
    <x v="66"/>
    <x v="16"/>
    <x v="414"/>
    <x v="123"/>
    <x v="15"/>
  </r>
  <r>
    <x v="0"/>
    <x v="46"/>
    <x v="46"/>
    <x v="30"/>
    <x v="30"/>
    <x v="30"/>
    <x v="13"/>
    <x v="461"/>
    <x v="506"/>
    <x v="48"/>
    <x v="12"/>
    <x v="393"/>
    <x v="102"/>
    <x v="15"/>
  </r>
  <r>
    <x v="0"/>
    <x v="46"/>
    <x v="46"/>
    <x v="2"/>
    <x v="2"/>
    <x v="2"/>
    <x v="13"/>
    <x v="461"/>
    <x v="506"/>
    <x v="78"/>
    <x v="516"/>
    <x v="395"/>
    <x v="311"/>
    <x v="15"/>
  </r>
  <r>
    <x v="0"/>
    <x v="46"/>
    <x v="46"/>
    <x v="13"/>
    <x v="13"/>
    <x v="13"/>
    <x v="13"/>
    <x v="461"/>
    <x v="506"/>
    <x v="81"/>
    <x v="525"/>
    <x v="375"/>
    <x v="142"/>
    <x v="15"/>
  </r>
  <r>
    <x v="0"/>
    <x v="46"/>
    <x v="46"/>
    <x v="45"/>
    <x v="45"/>
    <x v="45"/>
    <x v="16"/>
    <x v="481"/>
    <x v="266"/>
    <x v="74"/>
    <x v="524"/>
    <x v="319"/>
    <x v="277"/>
    <x v="15"/>
  </r>
  <r>
    <x v="0"/>
    <x v="46"/>
    <x v="46"/>
    <x v="12"/>
    <x v="12"/>
    <x v="12"/>
    <x v="17"/>
    <x v="504"/>
    <x v="201"/>
    <x v="65"/>
    <x v="60"/>
    <x v="397"/>
    <x v="16"/>
    <x v="15"/>
  </r>
  <r>
    <x v="0"/>
    <x v="46"/>
    <x v="46"/>
    <x v="16"/>
    <x v="16"/>
    <x v="16"/>
    <x v="18"/>
    <x v="515"/>
    <x v="507"/>
    <x v="48"/>
    <x v="12"/>
    <x v="421"/>
    <x v="154"/>
    <x v="15"/>
  </r>
  <r>
    <x v="0"/>
    <x v="46"/>
    <x v="46"/>
    <x v="46"/>
    <x v="46"/>
    <x v="46"/>
    <x v="19"/>
    <x v="377"/>
    <x v="468"/>
    <x v="48"/>
    <x v="12"/>
    <x v="423"/>
    <x v="57"/>
    <x v="15"/>
  </r>
  <r>
    <x v="0"/>
    <x v="46"/>
    <x v="46"/>
    <x v="21"/>
    <x v="21"/>
    <x v="21"/>
    <x v="19"/>
    <x v="377"/>
    <x v="468"/>
    <x v="48"/>
    <x v="12"/>
    <x v="423"/>
    <x v="57"/>
    <x v="15"/>
  </r>
  <r>
    <x v="0"/>
    <x v="46"/>
    <x v="46"/>
    <x v="27"/>
    <x v="27"/>
    <x v="27"/>
    <x v="19"/>
    <x v="377"/>
    <x v="468"/>
    <x v="45"/>
    <x v="526"/>
    <x v="418"/>
    <x v="272"/>
    <x v="15"/>
  </r>
  <r>
    <x v="0"/>
    <x v="47"/>
    <x v="47"/>
    <x v="3"/>
    <x v="3"/>
    <x v="3"/>
    <x v="0"/>
    <x v="180"/>
    <x v="508"/>
    <x v="200"/>
    <x v="527"/>
    <x v="290"/>
    <x v="470"/>
    <x v="15"/>
  </r>
  <r>
    <x v="0"/>
    <x v="47"/>
    <x v="47"/>
    <x v="0"/>
    <x v="0"/>
    <x v="0"/>
    <x v="1"/>
    <x v="164"/>
    <x v="509"/>
    <x v="113"/>
    <x v="347"/>
    <x v="277"/>
    <x v="471"/>
    <x v="15"/>
  </r>
  <r>
    <x v="0"/>
    <x v="47"/>
    <x v="47"/>
    <x v="1"/>
    <x v="1"/>
    <x v="1"/>
    <x v="2"/>
    <x v="211"/>
    <x v="510"/>
    <x v="171"/>
    <x v="528"/>
    <x v="396"/>
    <x v="107"/>
    <x v="15"/>
  </r>
  <r>
    <x v="0"/>
    <x v="47"/>
    <x v="47"/>
    <x v="2"/>
    <x v="2"/>
    <x v="2"/>
    <x v="3"/>
    <x v="308"/>
    <x v="511"/>
    <x v="305"/>
    <x v="176"/>
    <x v="152"/>
    <x v="472"/>
    <x v="15"/>
  </r>
  <r>
    <x v="0"/>
    <x v="47"/>
    <x v="47"/>
    <x v="4"/>
    <x v="4"/>
    <x v="4"/>
    <x v="4"/>
    <x v="492"/>
    <x v="512"/>
    <x v="102"/>
    <x v="529"/>
    <x v="301"/>
    <x v="473"/>
    <x v="15"/>
  </r>
  <r>
    <x v="0"/>
    <x v="47"/>
    <x v="47"/>
    <x v="5"/>
    <x v="5"/>
    <x v="5"/>
    <x v="5"/>
    <x v="420"/>
    <x v="513"/>
    <x v="104"/>
    <x v="530"/>
    <x v="415"/>
    <x v="301"/>
    <x v="15"/>
  </r>
  <r>
    <x v="0"/>
    <x v="47"/>
    <x v="47"/>
    <x v="13"/>
    <x v="13"/>
    <x v="13"/>
    <x v="6"/>
    <x v="421"/>
    <x v="514"/>
    <x v="103"/>
    <x v="531"/>
    <x v="402"/>
    <x v="97"/>
    <x v="15"/>
  </r>
  <r>
    <x v="0"/>
    <x v="47"/>
    <x v="47"/>
    <x v="9"/>
    <x v="9"/>
    <x v="9"/>
    <x v="7"/>
    <x v="422"/>
    <x v="254"/>
    <x v="51"/>
    <x v="424"/>
    <x v="396"/>
    <x v="107"/>
    <x v="15"/>
  </r>
  <r>
    <x v="0"/>
    <x v="47"/>
    <x v="47"/>
    <x v="8"/>
    <x v="8"/>
    <x v="8"/>
    <x v="8"/>
    <x v="468"/>
    <x v="515"/>
    <x v="45"/>
    <x v="64"/>
    <x v="286"/>
    <x v="474"/>
    <x v="15"/>
  </r>
  <r>
    <x v="0"/>
    <x v="47"/>
    <x v="47"/>
    <x v="6"/>
    <x v="6"/>
    <x v="6"/>
    <x v="9"/>
    <x v="413"/>
    <x v="516"/>
    <x v="55"/>
    <x v="532"/>
    <x v="411"/>
    <x v="180"/>
    <x v="15"/>
  </r>
  <r>
    <x v="0"/>
    <x v="47"/>
    <x v="47"/>
    <x v="11"/>
    <x v="11"/>
    <x v="11"/>
    <x v="10"/>
    <x v="451"/>
    <x v="517"/>
    <x v="76"/>
    <x v="395"/>
    <x v="419"/>
    <x v="363"/>
    <x v="15"/>
  </r>
  <r>
    <x v="0"/>
    <x v="47"/>
    <x v="47"/>
    <x v="17"/>
    <x v="17"/>
    <x v="17"/>
    <x v="11"/>
    <x v="424"/>
    <x v="146"/>
    <x v="48"/>
    <x v="12"/>
    <x v="411"/>
    <x v="180"/>
    <x v="15"/>
  </r>
  <r>
    <x v="0"/>
    <x v="47"/>
    <x v="47"/>
    <x v="7"/>
    <x v="7"/>
    <x v="7"/>
    <x v="12"/>
    <x v="484"/>
    <x v="465"/>
    <x v="148"/>
    <x v="533"/>
    <x v="398"/>
    <x v="347"/>
    <x v="15"/>
  </r>
  <r>
    <x v="0"/>
    <x v="47"/>
    <x v="47"/>
    <x v="14"/>
    <x v="14"/>
    <x v="14"/>
    <x v="12"/>
    <x v="484"/>
    <x v="465"/>
    <x v="48"/>
    <x v="12"/>
    <x v="366"/>
    <x v="475"/>
    <x v="5"/>
  </r>
  <r>
    <x v="0"/>
    <x v="47"/>
    <x v="47"/>
    <x v="10"/>
    <x v="10"/>
    <x v="10"/>
    <x v="14"/>
    <x v="479"/>
    <x v="68"/>
    <x v="56"/>
    <x v="32"/>
    <x v="366"/>
    <x v="475"/>
    <x v="15"/>
  </r>
  <r>
    <x v="0"/>
    <x v="47"/>
    <x v="47"/>
    <x v="44"/>
    <x v="44"/>
    <x v="44"/>
    <x v="15"/>
    <x v="485"/>
    <x v="13"/>
    <x v="65"/>
    <x v="60"/>
    <x v="370"/>
    <x v="448"/>
    <x v="15"/>
  </r>
  <r>
    <x v="0"/>
    <x v="47"/>
    <x v="47"/>
    <x v="16"/>
    <x v="16"/>
    <x v="16"/>
    <x v="16"/>
    <x v="440"/>
    <x v="86"/>
    <x v="66"/>
    <x v="223"/>
    <x v="390"/>
    <x v="213"/>
    <x v="15"/>
  </r>
  <r>
    <x v="0"/>
    <x v="47"/>
    <x v="47"/>
    <x v="18"/>
    <x v="18"/>
    <x v="18"/>
    <x v="17"/>
    <x v="461"/>
    <x v="136"/>
    <x v="45"/>
    <x v="64"/>
    <x v="398"/>
    <x v="347"/>
    <x v="15"/>
  </r>
  <r>
    <x v="0"/>
    <x v="47"/>
    <x v="47"/>
    <x v="27"/>
    <x v="27"/>
    <x v="27"/>
    <x v="17"/>
    <x v="461"/>
    <x v="136"/>
    <x v="47"/>
    <x v="534"/>
    <x v="388"/>
    <x v="328"/>
    <x v="15"/>
  </r>
  <r>
    <x v="0"/>
    <x v="47"/>
    <x v="47"/>
    <x v="12"/>
    <x v="12"/>
    <x v="12"/>
    <x v="19"/>
    <x v="464"/>
    <x v="286"/>
    <x v="65"/>
    <x v="60"/>
    <x v="381"/>
    <x v="187"/>
    <x v="15"/>
  </r>
  <r>
    <x v="0"/>
    <x v="48"/>
    <x v="48"/>
    <x v="0"/>
    <x v="0"/>
    <x v="0"/>
    <x v="0"/>
    <x v="456"/>
    <x v="518"/>
    <x v="308"/>
    <x v="535"/>
    <x v="358"/>
    <x v="476"/>
    <x v="15"/>
  </r>
  <r>
    <x v="0"/>
    <x v="48"/>
    <x v="48"/>
    <x v="3"/>
    <x v="3"/>
    <x v="3"/>
    <x v="1"/>
    <x v="445"/>
    <x v="519"/>
    <x v="325"/>
    <x v="536"/>
    <x v="388"/>
    <x v="211"/>
    <x v="15"/>
  </r>
  <r>
    <x v="0"/>
    <x v="48"/>
    <x v="48"/>
    <x v="6"/>
    <x v="6"/>
    <x v="6"/>
    <x v="2"/>
    <x v="492"/>
    <x v="520"/>
    <x v="269"/>
    <x v="537"/>
    <x v="285"/>
    <x v="477"/>
    <x v="15"/>
  </r>
  <r>
    <x v="0"/>
    <x v="48"/>
    <x v="48"/>
    <x v="1"/>
    <x v="1"/>
    <x v="1"/>
    <x v="3"/>
    <x v="407"/>
    <x v="242"/>
    <x v="201"/>
    <x v="538"/>
    <x v="412"/>
    <x v="281"/>
    <x v="15"/>
  </r>
  <r>
    <x v="0"/>
    <x v="48"/>
    <x v="48"/>
    <x v="8"/>
    <x v="8"/>
    <x v="8"/>
    <x v="4"/>
    <x v="421"/>
    <x v="482"/>
    <x v="101"/>
    <x v="286"/>
    <x v="364"/>
    <x v="478"/>
    <x v="3"/>
  </r>
  <r>
    <x v="0"/>
    <x v="48"/>
    <x v="48"/>
    <x v="4"/>
    <x v="4"/>
    <x v="4"/>
    <x v="5"/>
    <x v="523"/>
    <x v="521"/>
    <x v="50"/>
    <x v="539"/>
    <x v="390"/>
    <x v="472"/>
    <x v="15"/>
  </r>
  <r>
    <x v="0"/>
    <x v="48"/>
    <x v="48"/>
    <x v="13"/>
    <x v="13"/>
    <x v="13"/>
    <x v="6"/>
    <x v="424"/>
    <x v="436"/>
    <x v="54"/>
    <x v="445"/>
    <x v="376"/>
    <x v="479"/>
    <x v="15"/>
  </r>
  <r>
    <x v="0"/>
    <x v="48"/>
    <x v="48"/>
    <x v="10"/>
    <x v="10"/>
    <x v="10"/>
    <x v="7"/>
    <x v="477"/>
    <x v="522"/>
    <x v="66"/>
    <x v="180"/>
    <x v="411"/>
    <x v="480"/>
    <x v="15"/>
  </r>
  <r>
    <x v="0"/>
    <x v="48"/>
    <x v="48"/>
    <x v="5"/>
    <x v="5"/>
    <x v="5"/>
    <x v="8"/>
    <x v="478"/>
    <x v="193"/>
    <x v="258"/>
    <x v="540"/>
    <x v="395"/>
    <x v="151"/>
    <x v="15"/>
  </r>
  <r>
    <x v="0"/>
    <x v="48"/>
    <x v="48"/>
    <x v="9"/>
    <x v="9"/>
    <x v="9"/>
    <x v="9"/>
    <x v="459"/>
    <x v="523"/>
    <x v="50"/>
    <x v="539"/>
    <x v="423"/>
    <x v="323"/>
    <x v="15"/>
  </r>
  <r>
    <x v="0"/>
    <x v="48"/>
    <x v="48"/>
    <x v="2"/>
    <x v="2"/>
    <x v="2"/>
    <x v="10"/>
    <x v="499"/>
    <x v="157"/>
    <x v="45"/>
    <x v="471"/>
    <x v="383"/>
    <x v="474"/>
    <x v="15"/>
  </r>
  <r>
    <x v="0"/>
    <x v="48"/>
    <x v="48"/>
    <x v="7"/>
    <x v="7"/>
    <x v="7"/>
    <x v="11"/>
    <x v="453"/>
    <x v="386"/>
    <x v="92"/>
    <x v="541"/>
    <x v="389"/>
    <x v="239"/>
    <x v="3"/>
  </r>
  <r>
    <x v="0"/>
    <x v="48"/>
    <x v="48"/>
    <x v="14"/>
    <x v="14"/>
    <x v="14"/>
    <x v="12"/>
    <x v="463"/>
    <x v="120"/>
    <x v="65"/>
    <x v="60"/>
    <x v="385"/>
    <x v="127"/>
    <x v="5"/>
  </r>
  <r>
    <x v="0"/>
    <x v="48"/>
    <x v="48"/>
    <x v="27"/>
    <x v="27"/>
    <x v="27"/>
    <x v="13"/>
    <x v="494"/>
    <x v="16"/>
    <x v="45"/>
    <x v="471"/>
    <x v="386"/>
    <x v="251"/>
    <x v="15"/>
  </r>
  <r>
    <x v="0"/>
    <x v="48"/>
    <x v="48"/>
    <x v="16"/>
    <x v="16"/>
    <x v="16"/>
    <x v="14"/>
    <x v="504"/>
    <x v="88"/>
    <x v="66"/>
    <x v="180"/>
    <x v="375"/>
    <x v="461"/>
    <x v="15"/>
  </r>
  <r>
    <x v="0"/>
    <x v="48"/>
    <x v="48"/>
    <x v="18"/>
    <x v="18"/>
    <x v="18"/>
    <x v="14"/>
    <x v="504"/>
    <x v="88"/>
    <x v="147"/>
    <x v="525"/>
    <x v="418"/>
    <x v="229"/>
    <x v="15"/>
  </r>
  <r>
    <x v="0"/>
    <x v="48"/>
    <x v="48"/>
    <x v="15"/>
    <x v="15"/>
    <x v="15"/>
    <x v="16"/>
    <x v="512"/>
    <x v="105"/>
    <x v="56"/>
    <x v="376"/>
    <x v="421"/>
    <x v="175"/>
    <x v="15"/>
  </r>
  <r>
    <x v="0"/>
    <x v="48"/>
    <x v="48"/>
    <x v="12"/>
    <x v="12"/>
    <x v="12"/>
    <x v="16"/>
    <x v="512"/>
    <x v="105"/>
    <x v="56"/>
    <x v="376"/>
    <x v="421"/>
    <x v="175"/>
    <x v="15"/>
  </r>
  <r>
    <x v="0"/>
    <x v="48"/>
    <x v="48"/>
    <x v="17"/>
    <x v="17"/>
    <x v="17"/>
    <x v="18"/>
    <x v="377"/>
    <x v="524"/>
    <x v="65"/>
    <x v="60"/>
    <x v="386"/>
    <x v="251"/>
    <x v="15"/>
  </r>
  <r>
    <x v="0"/>
    <x v="48"/>
    <x v="48"/>
    <x v="21"/>
    <x v="21"/>
    <x v="21"/>
    <x v="18"/>
    <x v="377"/>
    <x v="524"/>
    <x v="48"/>
    <x v="56"/>
    <x v="423"/>
    <x v="323"/>
    <x v="15"/>
  </r>
  <r>
    <x v="0"/>
    <x v="49"/>
    <x v="49"/>
    <x v="1"/>
    <x v="1"/>
    <x v="1"/>
    <x v="0"/>
    <x v="295"/>
    <x v="525"/>
    <x v="326"/>
    <x v="542"/>
    <x v="342"/>
    <x v="309"/>
    <x v="15"/>
  </r>
  <r>
    <x v="0"/>
    <x v="49"/>
    <x v="49"/>
    <x v="3"/>
    <x v="3"/>
    <x v="3"/>
    <x v="1"/>
    <x v="207"/>
    <x v="526"/>
    <x v="193"/>
    <x v="543"/>
    <x v="381"/>
    <x v="267"/>
    <x v="15"/>
  </r>
  <r>
    <x v="0"/>
    <x v="49"/>
    <x v="49"/>
    <x v="0"/>
    <x v="0"/>
    <x v="0"/>
    <x v="2"/>
    <x v="409"/>
    <x v="519"/>
    <x v="76"/>
    <x v="18"/>
    <x v="249"/>
    <x v="481"/>
    <x v="15"/>
  </r>
  <r>
    <x v="0"/>
    <x v="49"/>
    <x v="49"/>
    <x v="8"/>
    <x v="8"/>
    <x v="8"/>
    <x v="3"/>
    <x v="436"/>
    <x v="527"/>
    <x v="76"/>
    <x v="18"/>
    <x v="387"/>
    <x v="482"/>
    <x v="15"/>
  </r>
  <r>
    <x v="0"/>
    <x v="49"/>
    <x v="49"/>
    <x v="6"/>
    <x v="6"/>
    <x v="6"/>
    <x v="4"/>
    <x v="425"/>
    <x v="300"/>
    <x v="101"/>
    <x v="544"/>
    <x v="403"/>
    <x v="438"/>
    <x v="15"/>
  </r>
  <r>
    <x v="0"/>
    <x v="49"/>
    <x v="49"/>
    <x v="9"/>
    <x v="9"/>
    <x v="9"/>
    <x v="5"/>
    <x v="459"/>
    <x v="528"/>
    <x v="53"/>
    <x v="545"/>
    <x v="319"/>
    <x v="91"/>
    <x v="15"/>
  </r>
  <r>
    <x v="0"/>
    <x v="49"/>
    <x v="49"/>
    <x v="5"/>
    <x v="5"/>
    <x v="5"/>
    <x v="5"/>
    <x v="459"/>
    <x v="528"/>
    <x v="49"/>
    <x v="523"/>
    <x v="339"/>
    <x v="375"/>
    <x v="15"/>
  </r>
  <r>
    <x v="0"/>
    <x v="49"/>
    <x v="49"/>
    <x v="4"/>
    <x v="4"/>
    <x v="4"/>
    <x v="7"/>
    <x v="499"/>
    <x v="529"/>
    <x v="103"/>
    <x v="546"/>
    <x v="393"/>
    <x v="423"/>
    <x v="15"/>
  </r>
  <r>
    <x v="0"/>
    <x v="49"/>
    <x v="49"/>
    <x v="7"/>
    <x v="7"/>
    <x v="7"/>
    <x v="8"/>
    <x v="375"/>
    <x v="26"/>
    <x v="63"/>
    <x v="547"/>
    <x v="319"/>
    <x v="91"/>
    <x v="15"/>
  </r>
  <r>
    <x v="0"/>
    <x v="49"/>
    <x v="49"/>
    <x v="18"/>
    <x v="18"/>
    <x v="18"/>
    <x v="9"/>
    <x v="460"/>
    <x v="169"/>
    <x v="46"/>
    <x v="409"/>
    <x v="421"/>
    <x v="212"/>
    <x v="15"/>
  </r>
  <r>
    <x v="0"/>
    <x v="49"/>
    <x v="49"/>
    <x v="12"/>
    <x v="12"/>
    <x v="12"/>
    <x v="10"/>
    <x v="462"/>
    <x v="68"/>
    <x v="65"/>
    <x v="60"/>
    <x v="342"/>
    <x v="309"/>
    <x v="15"/>
  </r>
  <r>
    <x v="0"/>
    <x v="49"/>
    <x v="49"/>
    <x v="2"/>
    <x v="2"/>
    <x v="2"/>
    <x v="10"/>
    <x v="462"/>
    <x v="68"/>
    <x v="136"/>
    <x v="548"/>
    <x v="319"/>
    <x v="91"/>
    <x v="15"/>
  </r>
  <r>
    <x v="0"/>
    <x v="49"/>
    <x v="49"/>
    <x v="10"/>
    <x v="10"/>
    <x v="10"/>
    <x v="12"/>
    <x v="481"/>
    <x v="173"/>
    <x v="76"/>
    <x v="18"/>
    <x v="386"/>
    <x v="34"/>
    <x v="15"/>
  </r>
  <r>
    <x v="0"/>
    <x v="49"/>
    <x v="49"/>
    <x v="13"/>
    <x v="13"/>
    <x v="13"/>
    <x v="13"/>
    <x v="512"/>
    <x v="36"/>
    <x v="147"/>
    <x v="355"/>
    <x v="310"/>
    <x v="166"/>
    <x v="15"/>
  </r>
  <r>
    <x v="0"/>
    <x v="49"/>
    <x v="49"/>
    <x v="32"/>
    <x v="32"/>
    <x v="32"/>
    <x v="14"/>
    <x v="513"/>
    <x v="122"/>
    <x v="48"/>
    <x v="358"/>
    <x v="415"/>
    <x v="35"/>
    <x v="15"/>
  </r>
  <r>
    <x v="0"/>
    <x v="49"/>
    <x v="49"/>
    <x v="16"/>
    <x v="16"/>
    <x v="16"/>
    <x v="14"/>
    <x v="513"/>
    <x v="122"/>
    <x v="65"/>
    <x v="60"/>
    <x v="421"/>
    <x v="212"/>
    <x v="15"/>
  </r>
  <r>
    <x v="0"/>
    <x v="49"/>
    <x v="49"/>
    <x v="44"/>
    <x v="44"/>
    <x v="44"/>
    <x v="14"/>
    <x v="513"/>
    <x v="122"/>
    <x v="66"/>
    <x v="16"/>
    <x v="395"/>
    <x v="51"/>
    <x v="15"/>
  </r>
  <r>
    <x v="0"/>
    <x v="49"/>
    <x v="49"/>
    <x v="27"/>
    <x v="27"/>
    <x v="27"/>
    <x v="17"/>
    <x v="506"/>
    <x v="530"/>
    <x v="45"/>
    <x v="46"/>
    <x v="422"/>
    <x v="193"/>
    <x v="15"/>
  </r>
  <r>
    <x v="0"/>
    <x v="49"/>
    <x v="49"/>
    <x v="45"/>
    <x v="45"/>
    <x v="45"/>
    <x v="17"/>
    <x v="506"/>
    <x v="530"/>
    <x v="44"/>
    <x v="270"/>
    <x v="339"/>
    <x v="375"/>
    <x v="15"/>
  </r>
  <r>
    <x v="0"/>
    <x v="49"/>
    <x v="49"/>
    <x v="30"/>
    <x v="30"/>
    <x v="30"/>
    <x v="19"/>
    <x v="508"/>
    <x v="531"/>
    <x v="56"/>
    <x v="42"/>
    <x v="422"/>
    <x v="193"/>
    <x v="15"/>
  </r>
  <r>
    <x v="0"/>
    <x v="49"/>
    <x v="49"/>
    <x v="17"/>
    <x v="17"/>
    <x v="17"/>
    <x v="19"/>
    <x v="508"/>
    <x v="531"/>
    <x v="65"/>
    <x v="60"/>
    <x v="319"/>
    <x v="91"/>
    <x v="15"/>
  </r>
  <r>
    <x v="0"/>
    <x v="49"/>
    <x v="49"/>
    <x v="41"/>
    <x v="41"/>
    <x v="41"/>
    <x v="19"/>
    <x v="508"/>
    <x v="531"/>
    <x v="66"/>
    <x v="16"/>
    <x v="420"/>
    <x v="483"/>
    <x v="15"/>
  </r>
  <r>
    <x v="0"/>
    <x v="49"/>
    <x v="49"/>
    <x v="21"/>
    <x v="21"/>
    <x v="21"/>
    <x v="19"/>
    <x v="508"/>
    <x v="531"/>
    <x v="48"/>
    <x v="358"/>
    <x v="310"/>
    <x v="166"/>
    <x v="15"/>
  </r>
  <r>
    <x v="0"/>
    <x v="49"/>
    <x v="49"/>
    <x v="43"/>
    <x v="43"/>
    <x v="43"/>
    <x v="19"/>
    <x v="508"/>
    <x v="531"/>
    <x v="48"/>
    <x v="358"/>
    <x v="310"/>
    <x v="166"/>
    <x v="15"/>
  </r>
  <r>
    <x v="0"/>
    <x v="50"/>
    <x v="50"/>
    <x v="8"/>
    <x v="8"/>
    <x v="8"/>
    <x v="0"/>
    <x v="315"/>
    <x v="149"/>
    <x v="274"/>
    <x v="549"/>
    <x v="282"/>
    <x v="484"/>
    <x v="15"/>
  </r>
  <r>
    <x v="0"/>
    <x v="50"/>
    <x v="50"/>
    <x v="3"/>
    <x v="3"/>
    <x v="3"/>
    <x v="1"/>
    <x v="514"/>
    <x v="203"/>
    <x v="98"/>
    <x v="550"/>
    <x v="415"/>
    <x v="371"/>
    <x v="15"/>
  </r>
  <r>
    <x v="0"/>
    <x v="50"/>
    <x v="50"/>
    <x v="6"/>
    <x v="6"/>
    <x v="6"/>
    <x v="2"/>
    <x v="208"/>
    <x v="150"/>
    <x v="145"/>
    <x v="551"/>
    <x v="249"/>
    <x v="485"/>
    <x v="15"/>
  </r>
  <r>
    <x v="0"/>
    <x v="50"/>
    <x v="50"/>
    <x v="1"/>
    <x v="1"/>
    <x v="1"/>
    <x v="3"/>
    <x v="132"/>
    <x v="532"/>
    <x v="193"/>
    <x v="552"/>
    <x v="415"/>
    <x v="371"/>
    <x v="15"/>
  </r>
  <r>
    <x v="0"/>
    <x v="50"/>
    <x v="50"/>
    <x v="4"/>
    <x v="4"/>
    <x v="4"/>
    <x v="4"/>
    <x v="521"/>
    <x v="126"/>
    <x v="232"/>
    <x v="553"/>
    <x v="284"/>
    <x v="486"/>
    <x v="15"/>
  </r>
  <r>
    <x v="0"/>
    <x v="50"/>
    <x v="50"/>
    <x v="7"/>
    <x v="7"/>
    <x v="7"/>
    <x v="5"/>
    <x v="421"/>
    <x v="401"/>
    <x v="259"/>
    <x v="554"/>
    <x v="343"/>
    <x v="29"/>
    <x v="15"/>
  </r>
  <r>
    <x v="0"/>
    <x v="50"/>
    <x v="50"/>
    <x v="10"/>
    <x v="10"/>
    <x v="10"/>
    <x v="6"/>
    <x v="423"/>
    <x v="533"/>
    <x v="54"/>
    <x v="213"/>
    <x v="402"/>
    <x v="110"/>
    <x v="15"/>
  </r>
  <r>
    <x v="0"/>
    <x v="50"/>
    <x v="50"/>
    <x v="18"/>
    <x v="18"/>
    <x v="18"/>
    <x v="7"/>
    <x v="478"/>
    <x v="130"/>
    <x v="209"/>
    <x v="555"/>
    <x v="412"/>
    <x v="192"/>
    <x v="15"/>
  </r>
  <r>
    <x v="0"/>
    <x v="50"/>
    <x v="50"/>
    <x v="0"/>
    <x v="0"/>
    <x v="0"/>
    <x v="8"/>
    <x v="425"/>
    <x v="244"/>
    <x v="47"/>
    <x v="402"/>
    <x v="289"/>
    <x v="487"/>
    <x v="15"/>
  </r>
  <r>
    <x v="0"/>
    <x v="50"/>
    <x v="50"/>
    <x v="5"/>
    <x v="5"/>
    <x v="5"/>
    <x v="9"/>
    <x v="426"/>
    <x v="534"/>
    <x v="258"/>
    <x v="392"/>
    <x v="422"/>
    <x v="66"/>
    <x v="15"/>
  </r>
  <r>
    <x v="0"/>
    <x v="50"/>
    <x v="50"/>
    <x v="9"/>
    <x v="9"/>
    <x v="9"/>
    <x v="10"/>
    <x v="438"/>
    <x v="476"/>
    <x v="50"/>
    <x v="556"/>
    <x v="310"/>
    <x v="277"/>
    <x v="15"/>
  </r>
  <r>
    <x v="0"/>
    <x v="50"/>
    <x v="50"/>
    <x v="2"/>
    <x v="2"/>
    <x v="2"/>
    <x v="11"/>
    <x v="439"/>
    <x v="275"/>
    <x v="102"/>
    <x v="557"/>
    <x v="423"/>
    <x v="153"/>
    <x v="15"/>
  </r>
  <r>
    <x v="0"/>
    <x v="50"/>
    <x v="50"/>
    <x v="12"/>
    <x v="12"/>
    <x v="12"/>
    <x v="12"/>
    <x v="375"/>
    <x v="173"/>
    <x v="44"/>
    <x v="558"/>
    <x v="385"/>
    <x v="488"/>
    <x v="15"/>
  </r>
  <r>
    <x v="0"/>
    <x v="50"/>
    <x v="50"/>
    <x v="13"/>
    <x v="13"/>
    <x v="13"/>
    <x v="13"/>
    <x v="376"/>
    <x v="176"/>
    <x v="74"/>
    <x v="410"/>
    <x v="386"/>
    <x v="134"/>
    <x v="15"/>
  </r>
  <r>
    <x v="0"/>
    <x v="50"/>
    <x v="50"/>
    <x v="11"/>
    <x v="11"/>
    <x v="11"/>
    <x v="14"/>
    <x v="461"/>
    <x v="14"/>
    <x v="74"/>
    <x v="410"/>
    <x v="421"/>
    <x v="315"/>
    <x v="15"/>
  </r>
  <r>
    <x v="0"/>
    <x v="50"/>
    <x v="50"/>
    <x v="32"/>
    <x v="32"/>
    <x v="32"/>
    <x v="15"/>
    <x v="480"/>
    <x v="55"/>
    <x v="44"/>
    <x v="558"/>
    <x v="343"/>
    <x v="29"/>
    <x v="15"/>
  </r>
  <r>
    <x v="0"/>
    <x v="50"/>
    <x v="50"/>
    <x v="30"/>
    <x v="30"/>
    <x v="30"/>
    <x v="16"/>
    <x v="504"/>
    <x v="430"/>
    <x v="47"/>
    <x v="402"/>
    <x v="421"/>
    <x v="315"/>
    <x v="15"/>
  </r>
  <r>
    <x v="0"/>
    <x v="50"/>
    <x v="50"/>
    <x v="21"/>
    <x v="21"/>
    <x v="21"/>
    <x v="16"/>
    <x v="504"/>
    <x v="430"/>
    <x v="45"/>
    <x v="91"/>
    <x v="386"/>
    <x v="134"/>
    <x v="15"/>
  </r>
  <r>
    <x v="0"/>
    <x v="50"/>
    <x v="50"/>
    <x v="44"/>
    <x v="44"/>
    <x v="44"/>
    <x v="16"/>
    <x v="504"/>
    <x v="430"/>
    <x v="65"/>
    <x v="60"/>
    <x v="395"/>
    <x v="92"/>
    <x v="15"/>
  </r>
  <r>
    <x v="0"/>
    <x v="50"/>
    <x v="50"/>
    <x v="45"/>
    <x v="45"/>
    <x v="45"/>
    <x v="19"/>
    <x v="501"/>
    <x v="122"/>
    <x v="81"/>
    <x v="559"/>
    <x v="418"/>
    <x v="463"/>
    <x v="15"/>
  </r>
  <r>
    <x v="0"/>
    <x v="51"/>
    <x v="51"/>
    <x v="0"/>
    <x v="0"/>
    <x v="0"/>
    <x v="0"/>
    <x v="52"/>
    <x v="535"/>
    <x v="167"/>
    <x v="560"/>
    <x v="425"/>
    <x v="489"/>
    <x v="15"/>
  </r>
  <r>
    <x v="0"/>
    <x v="51"/>
    <x v="51"/>
    <x v="3"/>
    <x v="3"/>
    <x v="3"/>
    <x v="1"/>
    <x v="243"/>
    <x v="1"/>
    <x v="238"/>
    <x v="561"/>
    <x v="426"/>
    <x v="490"/>
    <x v="15"/>
  </r>
  <r>
    <x v="0"/>
    <x v="51"/>
    <x v="51"/>
    <x v="1"/>
    <x v="1"/>
    <x v="1"/>
    <x v="2"/>
    <x v="340"/>
    <x v="496"/>
    <x v="327"/>
    <x v="296"/>
    <x v="387"/>
    <x v="126"/>
    <x v="15"/>
  </r>
  <r>
    <x v="0"/>
    <x v="51"/>
    <x v="51"/>
    <x v="6"/>
    <x v="6"/>
    <x v="6"/>
    <x v="3"/>
    <x v="442"/>
    <x v="489"/>
    <x v="209"/>
    <x v="381"/>
    <x v="400"/>
    <x v="459"/>
    <x v="15"/>
  </r>
  <r>
    <x v="0"/>
    <x v="51"/>
    <x v="51"/>
    <x v="5"/>
    <x v="5"/>
    <x v="5"/>
    <x v="4"/>
    <x v="443"/>
    <x v="536"/>
    <x v="163"/>
    <x v="562"/>
    <x v="343"/>
    <x v="491"/>
    <x v="15"/>
  </r>
  <r>
    <x v="0"/>
    <x v="51"/>
    <x v="51"/>
    <x v="9"/>
    <x v="9"/>
    <x v="9"/>
    <x v="5"/>
    <x v="402"/>
    <x v="482"/>
    <x v="154"/>
    <x v="262"/>
    <x v="419"/>
    <x v="69"/>
    <x v="15"/>
  </r>
  <r>
    <x v="0"/>
    <x v="51"/>
    <x v="51"/>
    <x v="7"/>
    <x v="7"/>
    <x v="7"/>
    <x v="6"/>
    <x v="298"/>
    <x v="401"/>
    <x v="167"/>
    <x v="560"/>
    <x v="411"/>
    <x v="224"/>
    <x v="15"/>
  </r>
  <r>
    <x v="0"/>
    <x v="51"/>
    <x v="51"/>
    <x v="4"/>
    <x v="4"/>
    <x v="4"/>
    <x v="7"/>
    <x v="520"/>
    <x v="527"/>
    <x v="168"/>
    <x v="563"/>
    <x v="180"/>
    <x v="492"/>
    <x v="15"/>
  </r>
  <r>
    <x v="0"/>
    <x v="51"/>
    <x v="51"/>
    <x v="2"/>
    <x v="2"/>
    <x v="2"/>
    <x v="8"/>
    <x v="315"/>
    <x v="537"/>
    <x v="240"/>
    <x v="564"/>
    <x v="199"/>
    <x v="493"/>
    <x v="15"/>
  </r>
  <r>
    <x v="0"/>
    <x v="51"/>
    <x v="51"/>
    <x v="8"/>
    <x v="8"/>
    <x v="8"/>
    <x v="9"/>
    <x v="516"/>
    <x v="538"/>
    <x v="60"/>
    <x v="234"/>
    <x v="117"/>
    <x v="494"/>
    <x v="15"/>
  </r>
  <r>
    <x v="0"/>
    <x v="51"/>
    <x v="51"/>
    <x v="10"/>
    <x v="10"/>
    <x v="10"/>
    <x v="10"/>
    <x v="521"/>
    <x v="534"/>
    <x v="76"/>
    <x v="268"/>
    <x v="424"/>
    <x v="40"/>
    <x v="15"/>
  </r>
  <r>
    <x v="0"/>
    <x v="51"/>
    <x v="51"/>
    <x v="13"/>
    <x v="13"/>
    <x v="13"/>
    <x v="11"/>
    <x v="409"/>
    <x v="118"/>
    <x v="46"/>
    <x v="75"/>
    <x v="416"/>
    <x v="495"/>
    <x v="15"/>
  </r>
  <r>
    <x v="0"/>
    <x v="51"/>
    <x v="51"/>
    <x v="18"/>
    <x v="18"/>
    <x v="18"/>
    <x v="12"/>
    <x v="421"/>
    <x v="539"/>
    <x v="158"/>
    <x v="217"/>
    <x v="289"/>
    <x v="270"/>
    <x v="15"/>
  </r>
  <r>
    <x v="0"/>
    <x v="51"/>
    <x v="51"/>
    <x v="12"/>
    <x v="12"/>
    <x v="12"/>
    <x v="13"/>
    <x v="458"/>
    <x v="197"/>
    <x v="55"/>
    <x v="168"/>
    <x v="364"/>
    <x v="221"/>
    <x v="15"/>
  </r>
  <r>
    <x v="0"/>
    <x v="51"/>
    <x v="51"/>
    <x v="44"/>
    <x v="44"/>
    <x v="44"/>
    <x v="14"/>
    <x v="523"/>
    <x v="214"/>
    <x v="48"/>
    <x v="165"/>
    <x v="419"/>
    <x v="69"/>
    <x v="15"/>
  </r>
  <r>
    <x v="0"/>
    <x v="51"/>
    <x v="51"/>
    <x v="11"/>
    <x v="11"/>
    <x v="11"/>
    <x v="15"/>
    <x v="484"/>
    <x v="136"/>
    <x v="102"/>
    <x v="83"/>
    <x v="393"/>
    <x v="56"/>
    <x v="15"/>
  </r>
  <r>
    <x v="0"/>
    <x v="51"/>
    <x v="51"/>
    <x v="15"/>
    <x v="15"/>
    <x v="15"/>
    <x v="16"/>
    <x v="425"/>
    <x v="448"/>
    <x v="76"/>
    <x v="268"/>
    <x v="371"/>
    <x v="134"/>
    <x v="15"/>
  </r>
  <r>
    <x v="0"/>
    <x v="51"/>
    <x v="51"/>
    <x v="14"/>
    <x v="14"/>
    <x v="14"/>
    <x v="17"/>
    <x v="499"/>
    <x v="331"/>
    <x v="56"/>
    <x v="72"/>
    <x v="376"/>
    <x v="249"/>
    <x v="15"/>
  </r>
  <r>
    <x v="0"/>
    <x v="51"/>
    <x v="51"/>
    <x v="27"/>
    <x v="27"/>
    <x v="27"/>
    <x v="18"/>
    <x v="486"/>
    <x v="105"/>
    <x v="103"/>
    <x v="534"/>
    <x v="398"/>
    <x v="17"/>
    <x v="15"/>
  </r>
  <r>
    <x v="0"/>
    <x v="51"/>
    <x v="51"/>
    <x v="17"/>
    <x v="17"/>
    <x v="17"/>
    <x v="19"/>
    <x v="437"/>
    <x v="437"/>
    <x v="48"/>
    <x v="165"/>
    <x v="403"/>
    <x v="294"/>
    <x v="15"/>
  </r>
  <r>
    <x v="0"/>
    <x v="52"/>
    <x v="52"/>
    <x v="6"/>
    <x v="6"/>
    <x v="6"/>
    <x v="0"/>
    <x v="467"/>
    <x v="540"/>
    <x v="102"/>
    <x v="207"/>
    <x v="364"/>
    <x v="496"/>
    <x v="15"/>
  </r>
  <r>
    <x v="0"/>
    <x v="52"/>
    <x v="52"/>
    <x v="30"/>
    <x v="30"/>
    <x v="30"/>
    <x v="1"/>
    <x v="409"/>
    <x v="541"/>
    <x v="46"/>
    <x v="513"/>
    <x v="416"/>
    <x v="497"/>
    <x v="15"/>
  </r>
  <r>
    <x v="0"/>
    <x v="52"/>
    <x v="52"/>
    <x v="8"/>
    <x v="8"/>
    <x v="8"/>
    <x v="2"/>
    <x v="434"/>
    <x v="542"/>
    <x v="46"/>
    <x v="513"/>
    <x v="291"/>
    <x v="498"/>
    <x v="15"/>
  </r>
  <r>
    <x v="0"/>
    <x v="52"/>
    <x v="52"/>
    <x v="1"/>
    <x v="1"/>
    <x v="1"/>
    <x v="3"/>
    <x v="424"/>
    <x v="512"/>
    <x v="322"/>
    <x v="565"/>
    <x v="395"/>
    <x v="291"/>
    <x v="15"/>
  </r>
  <r>
    <x v="0"/>
    <x v="52"/>
    <x v="52"/>
    <x v="32"/>
    <x v="32"/>
    <x v="32"/>
    <x v="4"/>
    <x v="478"/>
    <x v="344"/>
    <x v="47"/>
    <x v="566"/>
    <x v="373"/>
    <x v="486"/>
    <x v="15"/>
  </r>
  <r>
    <x v="0"/>
    <x v="52"/>
    <x v="52"/>
    <x v="18"/>
    <x v="18"/>
    <x v="18"/>
    <x v="4"/>
    <x v="478"/>
    <x v="344"/>
    <x v="102"/>
    <x v="207"/>
    <x v="342"/>
    <x v="269"/>
    <x v="15"/>
  </r>
  <r>
    <x v="0"/>
    <x v="52"/>
    <x v="52"/>
    <x v="3"/>
    <x v="3"/>
    <x v="3"/>
    <x v="6"/>
    <x v="452"/>
    <x v="543"/>
    <x v="322"/>
    <x v="565"/>
    <x v="339"/>
    <x v="499"/>
    <x v="15"/>
  </r>
  <r>
    <x v="0"/>
    <x v="52"/>
    <x v="52"/>
    <x v="0"/>
    <x v="0"/>
    <x v="0"/>
    <x v="7"/>
    <x v="459"/>
    <x v="544"/>
    <x v="66"/>
    <x v="428"/>
    <x v="387"/>
    <x v="500"/>
    <x v="15"/>
  </r>
  <r>
    <x v="0"/>
    <x v="52"/>
    <x v="52"/>
    <x v="45"/>
    <x v="45"/>
    <x v="45"/>
    <x v="8"/>
    <x v="438"/>
    <x v="463"/>
    <x v="136"/>
    <x v="310"/>
    <x v="343"/>
    <x v="206"/>
    <x v="15"/>
  </r>
  <r>
    <x v="0"/>
    <x v="52"/>
    <x v="52"/>
    <x v="4"/>
    <x v="4"/>
    <x v="4"/>
    <x v="9"/>
    <x v="375"/>
    <x v="45"/>
    <x v="46"/>
    <x v="513"/>
    <x v="386"/>
    <x v="501"/>
    <x v="15"/>
  </r>
  <r>
    <x v="0"/>
    <x v="52"/>
    <x v="52"/>
    <x v="10"/>
    <x v="10"/>
    <x v="10"/>
    <x v="10"/>
    <x v="376"/>
    <x v="26"/>
    <x v="76"/>
    <x v="144"/>
    <x v="380"/>
    <x v="12"/>
    <x v="15"/>
  </r>
  <r>
    <x v="0"/>
    <x v="52"/>
    <x v="52"/>
    <x v="7"/>
    <x v="7"/>
    <x v="7"/>
    <x v="10"/>
    <x v="376"/>
    <x v="26"/>
    <x v="60"/>
    <x v="567"/>
    <x v="418"/>
    <x v="201"/>
    <x v="15"/>
  </r>
  <r>
    <x v="0"/>
    <x v="52"/>
    <x v="52"/>
    <x v="46"/>
    <x v="46"/>
    <x v="46"/>
    <x v="12"/>
    <x v="511"/>
    <x v="186"/>
    <x v="56"/>
    <x v="151"/>
    <x v="386"/>
    <x v="501"/>
    <x v="15"/>
  </r>
  <r>
    <x v="0"/>
    <x v="52"/>
    <x v="52"/>
    <x v="36"/>
    <x v="36"/>
    <x v="36"/>
    <x v="13"/>
    <x v="512"/>
    <x v="285"/>
    <x v="66"/>
    <x v="428"/>
    <x v="389"/>
    <x v="33"/>
    <x v="15"/>
  </r>
  <r>
    <x v="0"/>
    <x v="52"/>
    <x v="52"/>
    <x v="47"/>
    <x v="47"/>
    <x v="47"/>
    <x v="13"/>
    <x v="512"/>
    <x v="285"/>
    <x v="48"/>
    <x v="148"/>
    <x v="386"/>
    <x v="501"/>
    <x v="15"/>
  </r>
  <r>
    <x v="0"/>
    <x v="52"/>
    <x v="52"/>
    <x v="5"/>
    <x v="5"/>
    <x v="5"/>
    <x v="13"/>
    <x v="512"/>
    <x v="285"/>
    <x v="46"/>
    <x v="513"/>
    <x v="347"/>
    <x v="502"/>
    <x v="15"/>
  </r>
  <r>
    <x v="0"/>
    <x v="52"/>
    <x v="52"/>
    <x v="40"/>
    <x v="40"/>
    <x v="40"/>
    <x v="16"/>
    <x v="515"/>
    <x v="266"/>
    <x v="48"/>
    <x v="148"/>
    <x v="421"/>
    <x v="134"/>
    <x v="15"/>
  </r>
  <r>
    <x v="0"/>
    <x v="52"/>
    <x v="52"/>
    <x v="28"/>
    <x v="28"/>
    <x v="28"/>
    <x v="16"/>
    <x v="515"/>
    <x v="266"/>
    <x v="48"/>
    <x v="148"/>
    <x v="421"/>
    <x v="134"/>
    <x v="15"/>
  </r>
  <r>
    <x v="0"/>
    <x v="52"/>
    <x v="52"/>
    <x v="21"/>
    <x v="21"/>
    <x v="21"/>
    <x v="18"/>
    <x v="377"/>
    <x v="16"/>
    <x v="48"/>
    <x v="148"/>
    <x v="423"/>
    <x v="315"/>
    <x v="15"/>
  </r>
  <r>
    <x v="0"/>
    <x v="52"/>
    <x v="52"/>
    <x v="13"/>
    <x v="13"/>
    <x v="13"/>
    <x v="19"/>
    <x v="513"/>
    <x v="236"/>
    <x v="44"/>
    <x v="152"/>
    <x v="310"/>
    <x v="455"/>
    <x v="15"/>
  </r>
  <r>
    <x v="0"/>
    <x v="52"/>
    <x v="52"/>
    <x v="9"/>
    <x v="9"/>
    <x v="9"/>
    <x v="19"/>
    <x v="513"/>
    <x v="236"/>
    <x v="54"/>
    <x v="568"/>
    <x v="347"/>
    <x v="502"/>
    <x v="15"/>
  </r>
  <r>
    <x v="0"/>
    <x v="53"/>
    <x v="53"/>
    <x v="8"/>
    <x v="8"/>
    <x v="8"/>
    <x v="0"/>
    <x v="454"/>
    <x v="108"/>
    <x v="74"/>
    <x v="569"/>
    <x v="375"/>
    <x v="503"/>
    <x v="15"/>
  </r>
  <r>
    <x v="0"/>
    <x v="53"/>
    <x v="53"/>
    <x v="6"/>
    <x v="6"/>
    <x v="6"/>
    <x v="1"/>
    <x v="463"/>
    <x v="545"/>
    <x v="74"/>
    <x v="569"/>
    <x v="415"/>
    <x v="504"/>
    <x v="15"/>
  </r>
  <r>
    <x v="0"/>
    <x v="53"/>
    <x v="53"/>
    <x v="4"/>
    <x v="4"/>
    <x v="4"/>
    <x v="2"/>
    <x v="517"/>
    <x v="546"/>
    <x v="101"/>
    <x v="570"/>
    <x v="395"/>
    <x v="505"/>
    <x v="15"/>
  </r>
  <r>
    <x v="0"/>
    <x v="53"/>
    <x v="53"/>
    <x v="3"/>
    <x v="3"/>
    <x v="3"/>
    <x v="3"/>
    <x v="494"/>
    <x v="547"/>
    <x v="113"/>
    <x v="571"/>
    <x v="347"/>
    <x v="66"/>
    <x v="15"/>
  </r>
  <r>
    <x v="0"/>
    <x v="53"/>
    <x v="53"/>
    <x v="28"/>
    <x v="28"/>
    <x v="28"/>
    <x v="4"/>
    <x v="511"/>
    <x v="548"/>
    <x v="44"/>
    <x v="145"/>
    <x v="395"/>
    <x v="505"/>
    <x v="15"/>
  </r>
  <r>
    <x v="0"/>
    <x v="53"/>
    <x v="53"/>
    <x v="1"/>
    <x v="1"/>
    <x v="1"/>
    <x v="4"/>
    <x v="511"/>
    <x v="548"/>
    <x v="78"/>
    <x v="572"/>
    <x v="347"/>
    <x v="66"/>
    <x v="15"/>
  </r>
  <r>
    <x v="0"/>
    <x v="53"/>
    <x v="53"/>
    <x v="10"/>
    <x v="10"/>
    <x v="10"/>
    <x v="6"/>
    <x v="505"/>
    <x v="393"/>
    <x v="66"/>
    <x v="36"/>
    <x v="415"/>
    <x v="504"/>
    <x v="15"/>
  </r>
  <r>
    <x v="0"/>
    <x v="53"/>
    <x v="53"/>
    <x v="0"/>
    <x v="0"/>
    <x v="0"/>
    <x v="7"/>
    <x v="506"/>
    <x v="6"/>
    <x v="48"/>
    <x v="270"/>
    <x v="319"/>
    <x v="312"/>
    <x v="15"/>
  </r>
  <r>
    <x v="0"/>
    <x v="53"/>
    <x v="53"/>
    <x v="44"/>
    <x v="44"/>
    <x v="44"/>
    <x v="7"/>
    <x v="506"/>
    <x v="6"/>
    <x v="66"/>
    <x v="36"/>
    <x v="420"/>
    <x v="400"/>
    <x v="15"/>
  </r>
  <r>
    <x v="0"/>
    <x v="53"/>
    <x v="53"/>
    <x v="11"/>
    <x v="11"/>
    <x v="11"/>
    <x v="9"/>
    <x v="507"/>
    <x v="7"/>
    <x v="55"/>
    <x v="573"/>
    <x v="422"/>
    <x v="475"/>
    <x v="15"/>
  </r>
  <r>
    <x v="0"/>
    <x v="53"/>
    <x v="53"/>
    <x v="18"/>
    <x v="18"/>
    <x v="18"/>
    <x v="9"/>
    <x v="507"/>
    <x v="7"/>
    <x v="55"/>
    <x v="573"/>
    <x v="422"/>
    <x v="475"/>
    <x v="15"/>
  </r>
  <r>
    <x v="0"/>
    <x v="53"/>
    <x v="53"/>
    <x v="9"/>
    <x v="9"/>
    <x v="9"/>
    <x v="11"/>
    <x v="508"/>
    <x v="133"/>
    <x v="81"/>
    <x v="574"/>
    <x v="348"/>
    <x v="506"/>
    <x v="15"/>
  </r>
  <r>
    <x v="0"/>
    <x v="53"/>
    <x v="53"/>
    <x v="7"/>
    <x v="7"/>
    <x v="7"/>
    <x v="12"/>
    <x v="524"/>
    <x v="159"/>
    <x v="44"/>
    <x v="145"/>
    <x v="347"/>
    <x v="66"/>
    <x v="15"/>
  </r>
  <r>
    <x v="0"/>
    <x v="53"/>
    <x v="53"/>
    <x v="21"/>
    <x v="21"/>
    <x v="21"/>
    <x v="13"/>
    <x v="378"/>
    <x v="13"/>
    <x v="48"/>
    <x v="270"/>
    <x v="344"/>
    <x v="224"/>
    <x v="15"/>
  </r>
  <r>
    <x v="0"/>
    <x v="53"/>
    <x v="53"/>
    <x v="27"/>
    <x v="27"/>
    <x v="27"/>
    <x v="13"/>
    <x v="378"/>
    <x v="13"/>
    <x v="56"/>
    <x v="575"/>
    <x v="345"/>
    <x v="153"/>
    <x v="15"/>
  </r>
  <r>
    <x v="0"/>
    <x v="53"/>
    <x v="53"/>
    <x v="48"/>
    <x v="48"/>
    <x v="48"/>
    <x v="15"/>
    <x v="379"/>
    <x v="120"/>
    <x v="48"/>
    <x v="270"/>
    <x v="339"/>
    <x v="11"/>
    <x v="15"/>
  </r>
  <r>
    <x v="0"/>
    <x v="53"/>
    <x v="53"/>
    <x v="5"/>
    <x v="5"/>
    <x v="5"/>
    <x v="15"/>
    <x v="379"/>
    <x v="120"/>
    <x v="47"/>
    <x v="576"/>
    <x v="348"/>
    <x v="506"/>
    <x v="15"/>
  </r>
  <r>
    <x v="0"/>
    <x v="53"/>
    <x v="53"/>
    <x v="45"/>
    <x v="45"/>
    <x v="45"/>
    <x v="15"/>
    <x v="379"/>
    <x v="120"/>
    <x v="55"/>
    <x v="573"/>
    <x v="346"/>
    <x v="166"/>
    <x v="15"/>
  </r>
  <r>
    <x v="0"/>
    <x v="53"/>
    <x v="53"/>
    <x v="49"/>
    <x v="49"/>
    <x v="49"/>
    <x v="18"/>
    <x v="525"/>
    <x v="135"/>
    <x v="55"/>
    <x v="573"/>
    <x v="347"/>
    <x v="66"/>
    <x v="15"/>
  </r>
  <r>
    <x v="0"/>
    <x v="53"/>
    <x v="53"/>
    <x v="42"/>
    <x v="42"/>
    <x v="42"/>
    <x v="18"/>
    <x v="525"/>
    <x v="135"/>
    <x v="48"/>
    <x v="270"/>
    <x v="345"/>
    <x v="153"/>
    <x v="15"/>
  </r>
  <r>
    <x v="0"/>
    <x v="54"/>
    <x v="54"/>
    <x v="8"/>
    <x v="8"/>
    <x v="8"/>
    <x v="0"/>
    <x v="513"/>
    <x v="549"/>
    <x v="44"/>
    <x v="577"/>
    <x v="310"/>
    <x v="507"/>
    <x v="15"/>
  </r>
  <r>
    <x v="0"/>
    <x v="54"/>
    <x v="54"/>
    <x v="50"/>
    <x v="50"/>
    <x v="50"/>
    <x v="1"/>
    <x v="505"/>
    <x v="550"/>
    <x v="147"/>
    <x v="578"/>
    <x v="345"/>
    <x v="508"/>
    <x v="15"/>
  </r>
  <r>
    <x v="0"/>
    <x v="54"/>
    <x v="54"/>
    <x v="7"/>
    <x v="7"/>
    <x v="7"/>
    <x v="2"/>
    <x v="508"/>
    <x v="551"/>
    <x v="76"/>
    <x v="579"/>
    <x v="347"/>
    <x v="509"/>
    <x v="15"/>
  </r>
  <r>
    <x v="0"/>
    <x v="54"/>
    <x v="54"/>
    <x v="1"/>
    <x v="1"/>
    <x v="1"/>
    <x v="2"/>
    <x v="508"/>
    <x v="551"/>
    <x v="81"/>
    <x v="580"/>
    <x v="348"/>
    <x v="87"/>
    <x v="15"/>
  </r>
  <r>
    <x v="0"/>
    <x v="54"/>
    <x v="54"/>
    <x v="4"/>
    <x v="4"/>
    <x v="4"/>
    <x v="4"/>
    <x v="524"/>
    <x v="552"/>
    <x v="44"/>
    <x v="577"/>
    <x v="347"/>
    <x v="509"/>
    <x v="15"/>
  </r>
  <r>
    <x v="0"/>
    <x v="54"/>
    <x v="54"/>
    <x v="6"/>
    <x v="6"/>
    <x v="6"/>
    <x v="5"/>
    <x v="379"/>
    <x v="553"/>
    <x v="47"/>
    <x v="581"/>
    <x v="348"/>
    <x v="87"/>
    <x v="15"/>
  </r>
  <r>
    <x v="0"/>
    <x v="54"/>
    <x v="54"/>
    <x v="48"/>
    <x v="48"/>
    <x v="48"/>
    <x v="6"/>
    <x v="525"/>
    <x v="554"/>
    <x v="48"/>
    <x v="582"/>
    <x v="345"/>
    <x v="508"/>
    <x v="15"/>
  </r>
  <r>
    <x v="0"/>
    <x v="54"/>
    <x v="54"/>
    <x v="3"/>
    <x v="3"/>
    <x v="3"/>
    <x v="6"/>
    <x v="525"/>
    <x v="554"/>
    <x v="47"/>
    <x v="581"/>
    <x v="427"/>
    <x v="510"/>
    <x v="15"/>
  </r>
  <r>
    <x v="0"/>
    <x v="54"/>
    <x v="54"/>
    <x v="10"/>
    <x v="10"/>
    <x v="10"/>
    <x v="8"/>
    <x v="381"/>
    <x v="10"/>
    <x v="56"/>
    <x v="81"/>
    <x v="427"/>
    <x v="510"/>
    <x v="15"/>
  </r>
  <r>
    <x v="0"/>
    <x v="54"/>
    <x v="54"/>
    <x v="9"/>
    <x v="9"/>
    <x v="9"/>
    <x v="8"/>
    <x v="381"/>
    <x v="10"/>
    <x v="48"/>
    <x v="582"/>
    <x v="427"/>
    <x v="510"/>
    <x v="15"/>
  </r>
  <r>
    <x v="0"/>
    <x v="54"/>
    <x v="54"/>
    <x v="51"/>
    <x v="51"/>
    <x v="51"/>
    <x v="10"/>
    <x v="382"/>
    <x v="367"/>
    <x v="65"/>
    <x v="60"/>
    <x v="347"/>
    <x v="509"/>
    <x v="15"/>
  </r>
  <r>
    <x v="0"/>
    <x v="54"/>
    <x v="54"/>
    <x v="0"/>
    <x v="0"/>
    <x v="0"/>
    <x v="10"/>
    <x v="382"/>
    <x v="367"/>
    <x v="66"/>
    <x v="583"/>
    <x v="348"/>
    <x v="87"/>
    <x v="15"/>
  </r>
  <r>
    <x v="0"/>
    <x v="54"/>
    <x v="54"/>
    <x v="27"/>
    <x v="27"/>
    <x v="27"/>
    <x v="10"/>
    <x v="382"/>
    <x v="367"/>
    <x v="66"/>
    <x v="583"/>
    <x v="348"/>
    <x v="87"/>
    <x v="15"/>
  </r>
  <r>
    <x v="0"/>
    <x v="54"/>
    <x v="54"/>
    <x v="14"/>
    <x v="14"/>
    <x v="14"/>
    <x v="10"/>
    <x v="382"/>
    <x v="367"/>
    <x v="66"/>
    <x v="583"/>
    <x v="348"/>
    <x v="87"/>
    <x v="15"/>
  </r>
  <r>
    <x v="0"/>
    <x v="54"/>
    <x v="54"/>
    <x v="52"/>
    <x v="52"/>
    <x v="52"/>
    <x v="14"/>
    <x v="383"/>
    <x v="555"/>
    <x v="66"/>
    <x v="583"/>
    <x v="427"/>
    <x v="510"/>
    <x v="15"/>
  </r>
  <r>
    <x v="0"/>
    <x v="54"/>
    <x v="54"/>
    <x v="31"/>
    <x v="31"/>
    <x v="31"/>
    <x v="14"/>
    <x v="383"/>
    <x v="555"/>
    <x v="66"/>
    <x v="583"/>
    <x v="427"/>
    <x v="510"/>
    <x v="15"/>
  </r>
  <r>
    <x v="0"/>
    <x v="54"/>
    <x v="54"/>
    <x v="53"/>
    <x v="53"/>
    <x v="53"/>
    <x v="14"/>
    <x v="383"/>
    <x v="555"/>
    <x v="66"/>
    <x v="583"/>
    <x v="427"/>
    <x v="510"/>
    <x v="15"/>
  </r>
  <r>
    <x v="0"/>
    <x v="54"/>
    <x v="54"/>
    <x v="46"/>
    <x v="46"/>
    <x v="46"/>
    <x v="14"/>
    <x v="383"/>
    <x v="555"/>
    <x v="66"/>
    <x v="583"/>
    <x v="427"/>
    <x v="510"/>
    <x v="15"/>
  </r>
  <r>
    <x v="0"/>
    <x v="54"/>
    <x v="54"/>
    <x v="47"/>
    <x v="47"/>
    <x v="47"/>
    <x v="14"/>
    <x v="383"/>
    <x v="555"/>
    <x v="65"/>
    <x v="60"/>
    <x v="348"/>
    <x v="87"/>
    <x v="15"/>
  </r>
  <r>
    <x v="0"/>
    <x v="54"/>
    <x v="54"/>
    <x v="54"/>
    <x v="54"/>
    <x v="54"/>
    <x v="14"/>
    <x v="383"/>
    <x v="555"/>
    <x v="65"/>
    <x v="60"/>
    <x v="427"/>
    <x v="510"/>
    <x v="15"/>
  </r>
  <r>
    <x v="0"/>
    <x v="54"/>
    <x v="54"/>
    <x v="17"/>
    <x v="17"/>
    <x v="17"/>
    <x v="14"/>
    <x v="383"/>
    <x v="555"/>
    <x v="65"/>
    <x v="60"/>
    <x v="348"/>
    <x v="87"/>
    <x v="15"/>
  </r>
  <r>
    <x v="0"/>
    <x v="54"/>
    <x v="54"/>
    <x v="24"/>
    <x v="24"/>
    <x v="24"/>
    <x v="14"/>
    <x v="383"/>
    <x v="555"/>
    <x v="65"/>
    <x v="60"/>
    <x v="348"/>
    <x v="87"/>
    <x v="15"/>
  </r>
  <r>
    <x v="0"/>
    <x v="54"/>
    <x v="54"/>
    <x v="23"/>
    <x v="23"/>
    <x v="23"/>
    <x v="14"/>
    <x v="383"/>
    <x v="555"/>
    <x v="66"/>
    <x v="583"/>
    <x v="427"/>
    <x v="510"/>
    <x v="15"/>
  </r>
  <r>
    <x v="0"/>
    <x v="54"/>
    <x v="54"/>
    <x v="21"/>
    <x v="21"/>
    <x v="21"/>
    <x v="14"/>
    <x v="383"/>
    <x v="555"/>
    <x v="66"/>
    <x v="583"/>
    <x v="427"/>
    <x v="510"/>
    <x v="15"/>
  </r>
  <r>
    <x v="0"/>
    <x v="54"/>
    <x v="54"/>
    <x v="15"/>
    <x v="15"/>
    <x v="15"/>
    <x v="14"/>
    <x v="383"/>
    <x v="555"/>
    <x v="66"/>
    <x v="583"/>
    <x v="427"/>
    <x v="510"/>
    <x v="15"/>
  </r>
  <r>
    <x v="0"/>
    <x v="54"/>
    <x v="54"/>
    <x v="18"/>
    <x v="18"/>
    <x v="18"/>
    <x v="14"/>
    <x v="383"/>
    <x v="555"/>
    <x v="66"/>
    <x v="583"/>
    <x v="427"/>
    <x v="510"/>
    <x v="15"/>
  </r>
  <r>
    <x v="0"/>
    <x v="54"/>
    <x v="54"/>
    <x v="12"/>
    <x v="12"/>
    <x v="12"/>
    <x v="14"/>
    <x v="383"/>
    <x v="555"/>
    <x v="65"/>
    <x v="60"/>
    <x v="348"/>
    <x v="87"/>
    <x v="15"/>
  </r>
  <r>
    <x v="0"/>
    <x v="54"/>
    <x v="54"/>
    <x v="55"/>
    <x v="55"/>
    <x v="55"/>
    <x v="14"/>
    <x v="383"/>
    <x v="555"/>
    <x v="66"/>
    <x v="583"/>
    <x v="427"/>
    <x v="510"/>
    <x v="15"/>
  </r>
  <r>
    <x v="0"/>
    <x v="54"/>
    <x v="54"/>
    <x v="56"/>
    <x v="56"/>
    <x v="56"/>
    <x v="14"/>
    <x v="383"/>
    <x v="555"/>
    <x v="65"/>
    <x v="60"/>
    <x v="348"/>
    <x v="87"/>
    <x v="15"/>
  </r>
  <r>
    <x v="0"/>
    <x v="54"/>
    <x v="54"/>
    <x v="2"/>
    <x v="2"/>
    <x v="2"/>
    <x v="14"/>
    <x v="383"/>
    <x v="555"/>
    <x v="66"/>
    <x v="583"/>
    <x v="427"/>
    <x v="510"/>
    <x v="15"/>
  </r>
  <r>
    <x v="0"/>
    <x v="54"/>
    <x v="54"/>
    <x v="13"/>
    <x v="13"/>
    <x v="13"/>
    <x v="14"/>
    <x v="383"/>
    <x v="555"/>
    <x v="65"/>
    <x v="60"/>
    <x v="427"/>
    <x v="510"/>
    <x v="15"/>
  </r>
  <r>
    <x v="0"/>
    <x v="54"/>
    <x v="54"/>
    <x v="44"/>
    <x v="44"/>
    <x v="44"/>
    <x v="14"/>
    <x v="383"/>
    <x v="555"/>
    <x v="65"/>
    <x v="60"/>
    <x v="348"/>
    <x v="87"/>
    <x v="15"/>
  </r>
  <r>
    <x v="0"/>
    <x v="54"/>
    <x v="54"/>
    <x v="45"/>
    <x v="45"/>
    <x v="45"/>
    <x v="14"/>
    <x v="383"/>
    <x v="555"/>
    <x v="65"/>
    <x v="60"/>
    <x v="348"/>
    <x v="87"/>
    <x v="15"/>
  </r>
  <r>
    <x v="0"/>
    <x v="54"/>
    <x v="54"/>
    <x v="57"/>
    <x v="57"/>
    <x v="57"/>
    <x v="14"/>
    <x v="383"/>
    <x v="555"/>
    <x v="65"/>
    <x v="60"/>
    <x v="348"/>
    <x v="87"/>
    <x v="15"/>
  </r>
  <r>
    <x v="0"/>
    <x v="55"/>
    <x v="55"/>
    <x v="1"/>
    <x v="1"/>
    <x v="1"/>
    <x v="0"/>
    <x v="480"/>
    <x v="556"/>
    <x v="63"/>
    <x v="584"/>
    <x v="346"/>
    <x v="327"/>
    <x v="15"/>
  </r>
  <r>
    <x v="0"/>
    <x v="55"/>
    <x v="55"/>
    <x v="8"/>
    <x v="8"/>
    <x v="8"/>
    <x v="1"/>
    <x v="501"/>
    <x v="421"/>
    <x v="101"/>
    <x v="585"/>
    <x v="420"/>
    <x v="325"/>
    <x v="15"/>
  </r>
  <r>
    <x v="0"/>
    <x v="55"/>
    <x v="55"/>
    <x v="7"/>
    <x v="7"/>
    <x v="7"/>
    <x v="2"/>
    <x v="505"/>
    <x v="557"/>
    <x v="101"/>
    <x v="585"/>
    <x v="346"/>
    <x v="327"/>
    <x v="15"/>
  </r>
  <r>
    <x v="0"/>
    <x v="55"/>
    <x v="55"/>
    <x v="4"/>
    <x v="4"/>
    <x v="4"/>
    <x v="3"/>
    <x v="524"/>
    <x v="558"/>
    <x v="48"/>
    <x v="582"/>
    <x v="422"/>
    <x v="511"/>
    <x v="15"/>
  </r>
  <r>
    <x v="0"/>
    <x v="55"/>
    <x v="55"/>
    <x v="50"/>
    <x v="50"/>
    <x v="50"/>
    <x v="4"/>
    <x v="378"/>
    <x v="23"/>
    <x v="47"/>
    <x v="581"/>
    <x v="347"/>
    <x v="147"/>
    <x v="15"/>
  </r>
  <r>
    <x v="0"/>
    <x v="55"/>
    <x v="55"/>
    <x v="3"/>
    <x v="3"/>
    <x v="3"/>
    <x v="5"/>
    <x v="525"/>
    <x v="426"/>
    <x v="47"/>
    <x v="581"/>
    <x v="427"/>
    <x v="510"/>
    <x v="15"/>
  </r>
  <r>
    <x v="0"/>
    <x v="55"/>
    <x v="55"/>
    <x v="6"/>
    <x v="6"/>
    <x v="6"/>
    <x v="6"/>
    <x v="381"/>
    <x v="559"/>
    <x v="48"/>
    <x v="582"/>
    <x v="348"/>
    <x v="328"/>
    <x v="15"/>
  </r>
  <r>
    <x v="0"/>
    <x v="55"/>
    <x v="55"/>
    <x v="10"/>
    <x v="10"/>
    <x v="10"/>
    <x v="6"/>
    <x v="381"/>
    <x v="559"/>
    <x v="66"/>
    <x v="583"/>
    <x v="347"/>
    <x v="147"/>
    <x v="15"/>
  </r>
  <r>
    <x v="0"/>
    <x v="55"/>
    <x v="55"/>
    <x v="25"/>
    <x v="25"/>
    <x v="25"/>
    <x v="6"/>
    <x v="381"/>
    <x v="559"/>
    <x v="65"/>
    <x v="60"/>
    <x v="347"/>
    <x v="147"/>
    <x v="15"/>
  </r>
  <r>
    <x v="0"/>
    <x v="55"/>
    <x v="55"/>
    <x v="49"/>
    <x v="49"/>
    <x v="49"/>
    <x v="9"/>
    <x v="382"/>
    <x v="201"/>
    <x v="48"/>
    <x v="582"/>
    <x v="427"/>
    <x v="510"/>
    <x v="15"/>
  </r>
  <r>
    <x v="0"/>
    <x v="55"/>
    <x v="55"/>
    <x v="33"/>
    <x v="33"/>
    <x v="33"/>
    <x v="9"/>
    <x v="382"/>
    <x v="201"/>
    <x v="65"/>
    <x v="60"/>
    <x v="347"/>
    <x v="147"/>
    <x v="15"/>
  </r>
  <r>
    <x v="0"/>
    <x v="55"/>
    <x v="55"/>
    <x v="40"/>
    <x v="40"/>
    <x v="40"/>
    <x v="9"/>
    <x v="382"/>
    <x v="201"/>
    <x v="65"/>
    <x v="60"/>
    <x v="347"/>
    <x v="147"/>
    <x v="15"/>
  </r>
  <r>
    <x v="0"/>
    <x v="55"/>
    <x v="55"/>
    <x v="16"/>
    <x v="16"/>
    <x v="16"/>
    <x v="9"/>
    <x v="382"/>
    <x v="201"/>
    <x v="65"/>
    <x v="60"/>
    <x v="347"/>
    <x v="147"/>
    <x v="15"/>
  </r>
  <r>
    <x v="0"/>
    <x v="55"/>
    <x v="55"/>
    <x v="11"/>
    <x v="11"/>
    <x v="11"/>
    <x v="9"/>
    <x v="382"/>
    <x v="201"/>
    <x v="66"/>
    <x v="583"/>
    <x v="348"/>
    <x v="328"/>
    <x v="15"/>
  </r>
  <r>
    <x v="0"/>
    <x v="55"/>
    <x v="55"/>
    <x v="0"/>
    <x v="0"/>
    <x v="0"/>
    <x v="9"/>
    <x v="382"/>
    <x v="201"/>
    <x v="65"/>
    <x v="60"/>
    <x v="347"/>
    <x v="147"/>
    <x v="15"/>
  </r>
  <r>
    <x v="0"/>
    <x v="55"/>
    <x v="55"/>
    <x v="13"/>
    <x v="13"/>
    <x v="13"/>
    <x v="9"/>
    <x v="382"/>
    <x v="201"/>
    <x v="66"/>
    <x v="583"/>
    <x v="348"/>
    <x v="328"/>
    <x v="15"/>
  </r>
  <r>
    <x v="0"/>
    <x v="55"/>
    <x v="55"/>
    <x v="9"/>
    <x v="9"/>
    <x v="9"/>
    <x v="9"/>
    <x v="382"/>
    <x v="201"/>
    <x v="65"/>
    <x v="60"/>
    <x v="348"/>
    <x v="328"/>
    <x v="15"/>
  </r>
  <r>
    <x v="0"/>
    <x v="55"/>
    <x v="55"/>
    <x v="5"/>
    <x v="5"/>
    <x v="5"/>
    <x v="9"/>
    <x v="382"/>
    <x v="201"/>
    <x v="66"/>
    <x v="583"/>
    <x v="348"/>
    <x v="328"/>
    <x v="15"/>
  </r>
  <r>
    <x v="0"/>
    <x v="55"/>
    <x v="55"/>
    <x v="52"/>
    <x v="52"/>
    <x v="52"/>
    <x v="18"/>
    <x v="383"/>
    <x v="560"/>
    <x v="65"/>
    <x v="60"/>
    <x v="348"/>
    <x v="328"/>
    <x v="15"/>
  </r>
  <r>
    <x v="0"/>
    <x v="55"/>
    <x v="55"/>
    <x v="20"/>
    <x v="20"/>
    <x v="20"/>
    <x v="18"/>
    <x v="383"/>
    <x v="560"/>
    <x v="66"/>
    <x v="583"/>
    <x v="427"/>
    <x v="510"/>
    <x v="15"/>
  </r>
  <r>
    <x v="0"/>
    <x v="55"/>
    <x v="55"/>
    <x v="58"/>
    <x v="58"/>
    <x v="58"/>
    <x v="18"/>
    <x v="383"/>
    <x v="560"/>
    <x v="66"/>
    <x v="583"/>
    <x v="427"/>
    <x v="510"/>
    <x v="15"/>
  </r>
  <r>
    <x v="0"/>
    <x v="55"/>
    <x v="55"/>
    <x v="30"/>
    <x v="30"/>
    <x v="30"/>
    <x v="18"/>
    <x v="383"/>
    <x v="560"/>
    <x v="66"/>
    <x v="583"/>
    <x v="427"/>
    <x v="510"/>
    <x v="15"/>
  </r>
  <r>
    <x v="0"/>
    <x v="55"/>
    <x v="55"/>
    <x v="32"/>
    <x v="32"/>
    <x v="32"/>
    <x v="18"/>
    <x v="383"/>
    <x v="560"/>
    <x v="65"/>
    <x v="60"/>
    <x v="348"/>
    <x v="328"/>
    <x v="15"/>
  </r>
  <r>
    <x v="0"/>
    <x v="55"/>
    <x v="55"/>
    <x v="59"/>
    <x v="59"/>
    <x v="59"/>
    <x v="18"/>
    <x v="383"/>
    <x v="560"/>
    <x v="65"/>
    <x v="60"/>
    <x v="348"/>
    <x v="328"/>
    <x v="15"/>
  </r>
  <r>
    <x v="0"/>
    <x v="55"/>
    <x v="55"/>
    <x v="41"/>
    <x v="41"/>
    <x v="41"/>
    <x v="18"/>
    <x v="383"/>
    <x v="560"/>
    <x v="65"/>
    <x v="60"/>
    <x v="348"/>
    <x v="328"/>
    <x v="15"/>
  </r>
  <r>
    <x v="0"/>
    <x v="55"/>
    <x v="55"/>
    <x v="23"/>
    <x v="23"/>
    <x v="23"/>
    <x v="18"/>
    <x v="383"/>
    <x v="560"/>
    <x v="66"/>
    <x v="583"/>
    <x v="427"/>
    <x v="510"/>
    <x v="15"/>
  </r>
  <r>
    <x v="0"/>
    <x v="55"/>
    <x v="55"/>
    <x v="15"/>
    <x v="15"/>
    <x v="15"/>
    <x v="18"/>
    <x v="383"/>
    <x v="560"/>
    <x v="66"/>
    <x v="583"/>
    <x v="427"/>
    <x v="510"/>
    <x v="15"/>
  </r>
  <r>
    <x v="0"/>
    <x v="55"/>
    <x v="55"/>
    <x v="18"/>
    <x v="18"/>
    <x v="18"/>
    <x v="18"/>
    <x v="383"/>
    <x v="560"/>
    <x v="65"/>
    <x v="60"/>
    <x v="348"/>
    <x v="328"/>
    <x v="15"/>
  </r>
  <r>
    <x v="0"/>
    <x v="55"/>
    <x v="55"/>
    <x v="22"/>
    <x v="22"/>
    <x v="22"/>
    <x v="18"/>
    <x v="383"/>
    <x v="560"/>
    <x v="65"/>
    <x v="60"/>
    <x v="348"/>
    <x v="328"/>
    <x v="15"/>
  </r>
  <r>
    <x v="0"/>
    <x v="55"/>
    <x v="55"/>
    <x v="12"/>
    <x v="12"/>
    <x v="12"/>
    <x v="18"/>
    <x v="383"/>
    <x v="560"/>
    <x v="65"/>
    <x v="60"/>
    <x v="348"/>
    <x v="328"/>
    <x v="15"/>
  </r>
  <r>
    <x v="0"/>
    <x v="55"/>
    <x v="55"/>
    <x v="2"/>
    <x v="2"/>
    <x v="2"/>
    <x v="18"/>
    <x v="383"/>
    <x v="560"/>
    <x v="65"/>
    <x v="60"/>
    <x v="348"/>
    <x v="328"/>
    <x v="15"/>
  </r>
  <r>
    <x v="0"/>
    <x v="55"/>
    <x v="55"/>
    <x v="43"/>
    <x v="43"/>
    <x v="43"/>
    <x v="18"/>
    <x v="383"/>
    <x v="560"/>
    <x v="65"/>
    <x v="60"/>
    <x v="348"/>
    <x v="328"/>
    <x v="15"/>
  </r>
  <r>
    <x v="0"/>
    <x v="55"/>
    <x v="55"/>
    <x v="27"/>
    <x v="27"/>
    <x v="27"/>
    <x v="18"/>
    <x v="383"/>
    <x v="560"/>
    <x v="65"/>
    <x v="60"/>
    <x v="348"/>
    <x v="328"/>
    <x v="15"/>
  </r>
  <r>
    <x v="0"/>
    <x v="55"/>
    <x v="55"/>
    <x v="60"/>
    <x v="60"/>
    <x v="60"/>
    <x v="18"/>
    <x v="383"/>
    <x v="560"/>
    <x v="65"/>
    <x v="60"/>
    <x v="427"/>
    <x v="510"/>
    <x v="15"/>
  </r>
  <r>
    <x v="0"/>
    <x v="55"/>
    <x v="55"/>
    <x v="45"/>
    <x v="45"/>
    <x v="45"/>
    <x v="18"/>
    <x v="383"/>
    <x v="560"/>
    <x v="66"/>
    <x v="583"/>
    <x v="427"/>
    <x v="510"/>
    <x v="15"/>
  </r>
  <r>
    <x v="0"/>
    <x v="55"/>
    <x v="55"/>
    <x v="37"/>
    <x v="37"/>
    <x v="37"/>
    <x v="18"/>
    <x v="383"/>
    <x v="560"/>
    <x v="66"/>
    <x v="583"/>
    <x v="427"/>
    <x v="510"/>
    <x v="15"/>
  </r>
  <r>
    <x v="0"/>
    <x v="55"/>
    <x v="55"/>
    <x v="57"/>
    <x v="57"/>
    <x v="57"/>
    <x v="18"/>
    <x v="383"/>
    <x v="560"/>
    <x v="65"/>
    <x v="60"/>
    <x v="348"/>
    <x v="328"/>
    <x v="15"/>
  </r>
  <r>
    <x v="0"/>
    <x v="55"/>
    <x v="55"/>
    <x v="14"/>
    <x v="14"/>
    <x v="14"/>
    <x v="18"/>
    <x v="383"/>
    <x v="560"/>
    <x v="65"/>
    <x v="60"/>
    <x v="348"/>
    <x v="328"/>
    <x v="15"/>
  </r>
  <r>
    <x v="0"/>
    <x v="56"/>
    <x v="56"/>
    <x v="50"/>
    <x v="50"/>
    <x v="50"/>
    <x v="0"/>
    <x v="484"/>
    <x v="60"/>
    <x v="49"/>
    <x v="586"/>
    <x v="319"/>
    <x v="512"/>
    <x v="15"/>
  </r>
  <r>
    <x v="0"/>
    <x v="56"/>
    <x v="56"/>
    <x v="7"/>
    <x v="7"/>
    <x v="7"/>
    <x v="1"/>
    <x v="499"/>
    <x v="359"/>
    <x v="199"/>
    <x v="587"/>
    <x v="319"/>
    <x v="512"/>
    <x v="15"/>
  </r>
  <r>
    <x v="0"/>
    <x v="56"/>
    <x v="56"/>
    <x v="1"/>
    <x v="1"/>
    <x v="1"/>
    <x v="1"/>
    <x v="499"/>
    <x v="359"/>
    <x v="208"/>
    <x v="588"/>
    <x v="344"/>
    <x v="23"/>
    <x v="15"/>
  </r>
  <r>
    <x v="0"/>
    <x v="56"/>
    <x v="56"/>
    <x v="4"/>
    <x v="4"/>
    <x v="4"/>
    <x v="3"/>
    <x v="485"/>
    <x v="277"/>
    <x v="89"/>
    <x v="589"/>
    <x v="423"/>
    <x v="513"/>
    <x v="15"/>
  </r>
  <r>
    <x v="0"/>
    <x v="56"/>
    <x v="56"/>
    <x v="8"/>
    <x v="8"/>
    <x v="8"/>
    <x v="4"/>
    <x v="376"/>
    <x v="561"/>
    <x v="54"/>
    <x v="590"/>
    <x v="343"/>
    <x v="514"/>
    <x v="15"/>
  </r>
  <r>
    <x v="0"/>
    <x v="56"/>
    <x v="56"/>
    <x v="3"/>
    <x v="3"/>
    <x v="3"/>
    <x v="5"/>
    <x v="511"/>
    <x v="401"/>
    <x v="78"/>
    <x v="424"/>
    <x v="347"/>
    <x v="263"/>
    <x v="15"/>
  </r>
  <r>
    <x v="0"/>
    <x v="56"/>
    <x v="56"/>
    <x v="6"/>
    <x v="6"/>
    <x v="6"/>
    <x v="6"/>
    <x v="506"/>
    <x v="131"/>
    <x v="76"/>
    <x v="591"/>
    <x v="345"/>
    <x v="71"/>
    <x v="15"/>
  </r>
  <r>
    <x v="0"/>
    <x v="56"/>
    <x v="56"/>
    <x v="52"/>
    <x v="52"/>
    <x v="52"/>
    <x v="6"/>
    <x v="506"/>
    <x v="131"/>
    <x v="56"/>
    <x v="59"/>
    <x v="420"/>
    <x v="515"/>
    <x v="15"/>
  </r>
  <r>
    <x v="0"/>
    <x v="56"/>
    <x v="56"/>
    <x v="11"/>
    <x v="11"/>
    <x v="11"/>
    <x v="8"/>
    <x v="507"/>
    <x v="116"/>
    <x v="76"/>
    <x v="591"/>
    <x v="346"/>
    <x v="135"/>
    <x v="15"/>
  </r>
  <r>
    <x v="0"/>
    <x v="56"/>
    <x v="56"/>
    <x v="25"/>
    <x v="25"/>
    <x v="25"/>
    <x v="9"/>
    <x v="508"/>
    <x v="118"/>
    <x v="47"/>
    <x v="361"/>
    <x v="347"/>
    <x v="263"/>
    <x v="15"/>
  </r>
  <r>
    <x v="0"/>
    <x v="56"/>
    <x v="56"/>
    <x v="18"/>
    <x v="18"/>
    <x v="18"/>
    <x v="10"/>
    <x v="524"/>
    <x v="69"/>
    <x v="47"/>
    <x v="361"/>
    <x v="346"/>
    <x v="135"/>
    <x v="15"/>
  </r>
  <r>
    <x v="0"/>
    <x v="56"/>
    <x v="56"/>
    <x v="9"/>
    <x v="9"/>
    <x v="9"/>
    <x v="10"/>
    <x v="524"/>
    <x v="69"/>
    <x v="47"/>
    <x v="361"/>
    <x v="348"/>
    <x v="516"/>
    <x v="15"/>
  </r>
  <r>
    <x v="0"/>
    <x v="56"/>
    <x v="56"/>
    <x v="10"/>
    <x v="10"/>
    <x v="10"/>
    <x v="12"/>
    <x v="379"/>
    <x v="247"/>
    <x v="66"/>
    <x v="35"/>
    <x v="344"/>
    <x v="23"/>
    <x v="15"/>
  </r>
  <r>
    <x v="0"/>
    <x v="56"/>
    <x v="56"/>
    <x v="5"/>
    <x v="5"/>
    <x v="5"/>
    <x v="13"/>
    <x v="525"/>
    <x v="200"/>
    <x v="55"/>
    <x v="447"/>
    <x v="347"/>
    <x v="263"/>
    <x v="15"/>
  </r>
  <r>
    <x v="0"/>
    <x v="56"/>
    <x v="56"/>
    <x v="23"/>
    <x v="23"/>
    <x v="23"/>
    <x v="14"/>
    <x v="526"/>
    <x v="562"/>
    <x v="48"/>
    <x v="102"/>
    <x v="346"/>
    <x v="135"/>
    <x v="15"/>
  </r>
  <r>
    <x v="0"/>
    <x v="56"/>
    <x v="56"/>
    <x v="42"/>
    <x v="42"/>
    <x v="42"/>
    <x v="14"/>
    <x v="526"/>
    <x v="562"/>
    <x v="48"/>
    <x v="102"/>
    <x v="346"/>
    <x v="135"/>
    <x v="15"/>
  </r>
  <r>
    <x v="0"/>
    <x v="56"/>
    <x v="56"/>
    <x v="43"/>
    <x v="43"/>
    <x v="43"/>
    <x v="14"/>
    <x v="526"/>
    <x v="562"/>
    <x v="48"/>
    <x v="102"/>
    <x v="347"/>
    <x v="263"/>
    <x v="15"/>
  </r>
  <r>
    <x v="0"/>
    <x v="56"/>
    <x v="56"/>
    <x v="45"/>
    <x v="45"/>
    <x v="45"/>
    <x v="14"/>
    <x v="526"/>
    <x v="562"/>
    <x v="55"/>
    <x v="447"/>
    <x v="348"/>
    <x v="516"/>
    <x v="15"/>
  </r>
  <r>
    <x v="0"/>
    <x v="56"/>
    <x v="56"/>
    <x v="38"/>
    <x v="38"/>
    <x v="38"/>
    <x v="18"/>
    <x v="380"/>
    <x v="563"/>
    <x v="65"/>
    <x v="60"/>
    <x v="345"/>
    <x v="71"/>
    <x v="15"/>
  </r>
  <r>
    <x v="0"/>
    <x v="56"/>
    <x v="56"/>
    <x v="35"/>
    <x v="35"/>
    <x v="35"/>
    <x v="18"/>
    <x v="380"/>
    <x v="563"/>
    <x v="56"/>
    <x v="59"/>
    <x v="348"/>
    <x v="516"/>
    <x v="15"/>
  </r>
  <r>
    <x v="0"/>
    <x v="56"/>
    <x v="56"/>
    <x v="21"/>
    <x v="21"/>
    <x v="21"/>
    <x v="18"/>
    <x v="380"/>
    <x v="563"/>
    <x v="66"/>
    <x v="35"/>
    <x v="346"/>
    <x v="135"/>
    <x v="15"/>
  </r>
  <r>
    <x v="0"/>
    <x v="56"/>
    <x v="56"/>
    <x v="55"/>
    <x v="55"/>
    <x v="55"/>
    <x v="18"/>
    <x v="380"/>
    <x v="563"/>
    <x v="56"/>
    <x v="59"/>
    <x v="348"/>
    <x v="516"/>
    <x v="15"/>
  </r>
  <r>
    <x v="0"/>
    <x v="56"/>
    <x v="56"/>
    <x v="2"/>
    <x v="2"/>
    <x v="2"/>
    <x v="18"/>
    <x v="380"/>
    <x v="563"/>
    <x v="56"/>
    <x v="59"/>
    <x v="348"/>
    <x v="516"/>
    <x v="15"/>
  </r>
  <r>
    <x v="0"/>
    <x v="56"/>
    <x v="56"/>
    <x v="13"/>
    <x v="13"/>
    <x v="13"/>
    <x v="18"/>
    <x v="380"/>
    <x v="563"/>
    <x v="66"/>
    <x v="35"/>
    <x v="346"/>
    <x v="135"/>
    <x v="15"/>
  </r>
  <r>
    <x v="0"/>
    <x v="56"/>
    <x v="56"/>
    <x v="44"/>
    <x v="44"/>
    <x v="44"/>
    <x v="18"/>
    <x v="380"/>
    <x v="563"/>
    <x v="65"/>
    <x v="60"/>
    <x v="345"/>
    <x v="71"/>
    <x v="15"/>
  </r>
  <r>
    <x v="0"/>
    <x v="57"/>
    <x v="57"/>
    <x v="50"/>
    <x v="50"/>
    <x v="50"/>
    <x v="0"/>
    <x v="525"/>
    <x v="564"/>
    <x v="47"/>
    <x v="592"/>
    <x v="427"/>
    <x v="510"/>
    <x v="15"/>
  </r>
  <r>
    <x v="0"/>
    <x v="57"/>
    <x v="57"/>
    <x v="7"/>
    <x v="7"/>
    <x v="7"/>
    <x v="1"/>
    <x v="381"/>
    <x v="565"/>
    <x v="56"/>
    <x v="593"/>
    <x v="427"/>
    <x v="510"/>
    <x v="15"/>
  </r>
  <r>
    <x v="0"/>
    <x v="57"/>
    <x v="57"/>
    <x v="8"/>
    <x v="8"/>
    <x v="8"/>
    <x v="2"/>
    <x v="382"/>
    <x v="566"/>
    <x v="66"/>
    <x v="594"/>
    <x v="348"/>
    <x v="517"/>
    <x v="15"/>
  </r>
  <r>
    <x v="0"/>
    <x v="57"/>
    <x v="57"/>
    <x v="1"/>
    <x v="1"/>
    <x v="1"/>
    <x v="2"/>
    <x v="382"/>
    <x v="566"/>
    <x v="48"/>
    <x v="595"/>
    <x v="427"/>
    <x v="510"/>
    <x v="15"/>
  </r>
  <r>
    <x v="0"/>
    <x v="57"/>
    <x v="57"/>
    <x v="10"/>
    <x v="10"/>
    <x v="10"/>
    <x v="4"/>
    <x v="383"/>
    <x v="567"/>
    <x v="66"/>
    <x v="594"/>
    <x v="427"/>
    <x v="510"/>
    <x v="15"/>
  </r>
  <r>
    <x v="0"/>
    <x v="57"/>
    <x v="57"/>
    <x v="52"/>
    <x v="52"/>
    <x v="52"/>
    <x v="4"/>
    <x v="383"/>
    <x v="567"/>
    <x v="65"/>
    <x v="60"/>
    <x v="348"/>
    <x v="517"/>
    <x v="15"/>
  </r>
  <r>
    <x v="0"/>
    <x v="57"/>
    <x v="57"/>
    <x v="54"/>
    <x v="54"/>
    <x v="54"/>
    <x v="4"/>
    <x v="383"/>
    <x v="567"/>
    <x v="65"/>
    <x v="60"/>
    <x v="427"/>
    <x v="510"/>
    <x v="15"/>
  </r>
  <r>
    <x v="0"/>
    <x v="57"/>
    <x v="57"/>
    <x v="61"/>
    <x v="61"/>
    <x v="61"/>
    <x v="4"/>
    <x v="383"/>
    <x v="567"/>
    <x v="65"/>
    <x v="60"/>
    <x v="348"/>
    <x v="517"/>
    <x v="15"/>
  </r>
  <r>
    <x v="0"/>
    <x v="57"/>
    <x v="57"/>
    <x v="18"/>
    <x v="18"/>
    <x v="18"/>
    <x v="4"/>
    <x v="383"/>
    <x v="567"/>
    <x v="66"/>
    <x v="594"/>
    <x v="427"/>
    <x v="510"/>
    <x v="15"/>
  </r>
  <r>
    <x v="0"/>
    <x v="57"/>
    <x v="57"/>
    <x v="3"/>
    <x v="3"/>
    <x v="3"/>
    <x v="4"/>
    <x v="383"/>
    <x v="567"/>
    <x v="66"/>
    <x v="594"/>
    <x v="427"/>
    <x v="510"/>
    <x v="15"/>
  </r>
  <r>
    <x v="0"/>
    <x v="57"/>
    <x v="57"/>
    <x v="60"/>
    <x v="60"/>
    <x v="60"/>
    <x v="4"/>
    <x v="383"/>
    <x v="567"/>
    <x v="65"/>
    <x v="60"/>
    <x v="348"/>
    <x v="517"/>
    <x v="15"/>
  </r>
  <r>
    <x v="0"/>
    <x v="57"/>
    <x v="57"/>
    <x v="62"/>
    <x v="62"/>
    <x v="62"/>
    <x v="4"/>
    <x v="383"/>
    <x v="567"/>
    <x v="65"/>
    <x v="60"/>
    <x v="427"/>
    <x v="510"/>
    <x v="15"/>
  </r>
  <r>
    <x v="0"/>
    <x v="58"/>
    <x v="58"/>
    <x v="50"/>
    <x v="50"/>
    <x v="50"/>
    <x v="0"/>
    <x v="458"/>
    <x v="568"/>
    <x v="128"/>
    <x v="596"/>
    <x v="348"/>
    <x v="518"/>
    <x v="15"/>
  </r>
  <r>
    <x v="0"/>
    <x v="58"/>
    <x v="58"/>
    <x v="1"/>
    <x v="1"/>
    <x v="1"/>
    <x v="1"/>
    <x v="505"/>
    <x v="204"/>
    <x v="137"/>
    <x v="597"/>
    <x v="348"/>
    <x v="518"/>
    <x v="15"/>
  </r>
  <r>
    <x v="0"/>
    <x v="58"/>
    <x v="58"/>
    <x v="4"/>
    <x v="4"/>
    <x v="4"/>
    <x v="2"/>
    <x v="506"/>
    <x v="423"/>
    <x v="76"/>
    <x v="598"/>
    <x v="345"/>
    <x v="519"/>
    <x v="15"/>
  </r>
  <r>
    <x v="0"/>
    <x v="58"/>
    <x v="58"/>
    <x v="7"/>
    <x v="7"/>
    <x v="7"/>
    <x v="3"/>
    <x v="508"/>
    <x v="569"/>
    <x v="81"/>
    <x v="599"/>
    <x v="348"/>
    <x v="518"/>
    <x v="15"/>
  </r>
  <r>
    <x v="0"/>
    <x v="58"/>
    <x v="58"/>
    <x v="10"/>
    <x v="10"/>
    <x v="10"/>
    <x v="4"/>
    <x v="379"/>
    <x v="544"/>
    <x v="55"/>
    <x v="385"/>
    <x v="346"/>
    <x v="520"/>
    <x v="15"/>
  </r>
  <r>
    <x v="0"/>
    <x v="58"/>
    <x v="58"/>
    <x v="6"/>
    <x v="6"/>
    <x v="6"/>
    <x v="5"/>
    <x v="526"/>
    <x v="223"/>
    <x v="45"/>
    <x v="66"/>
    <x v="427"/>
    <x v="510"/>
    <x v="15"/>
  </r>
  <r>
    <x v="0"/>
    <x v="58"/>
    <x v="58"/>
    <x v="3"/>
    <x v="3"/>
    <x v="3"/>
    <x v="5"/>
    <x v="526"/>
    <x v="223"/>
    <x v="55"/>
    <x v="385"/>
    <x v="427"/>
    <x v="510"/>
    <x v="15"/>
  </r>
  <r>
    <x v="0"/>
    <x v="58"/>
    <x v="58"/>
    <x v="25"/>
    <x v="25"/>
    <x v="25"/>
    <x v="5"/>
    <x v="526"/>
    <x v="223"/>
    <x v="56"/>
    <x v="600"/>
    <x v="348"/>
    <x v="518"/>
    <x v="15"/>
  </r>
  <r>
    <x v="0"/>
    <x v="58"/>
    <x v="58"/>
    <x v="52"/>
    <x v="52"/>
    <x v="52"/>
    <x v="8"/>
    <x v="380"/>
    <x v="147"/>
    <x v="55"/>
    <x v="385"/>
    <x v="427"/>
    <x v="510"/>
    <x v="15"/>
  </r>
  <r>
    <x v="0"/>
    <x v="58"/>
    <x v="58"/>
    <x v="61"/>
    <x v="61"/>
    <x v="61"/>
    <x v="8"/>
    <x v="380"/>
    <x v="147"/>
    <x v="65"/>
    <x v="60"/>
    <x v="346"/>
    <x v="520"/>
    <x v="15"/>
  </r>
  <r>
    <x v="0"/>
    <x v="58"/>
    <x v="58"/>
    <x v="8"/>
    <x v="8"/>
    <x v="8"/>
    <x v="10"/>
    <x v="381"/>
    <x v="411"/>
    <x v="66"/>
    <x v="209"/>
    <x v="347"/>
    <x v="521"/>
    <x v="15"/>
  </r>
  <r>
    <x v="0"/>
    <x v="58"/>
    <x v="58"/>
    <x v="58"/>
    <x v="58"/>
    <x v="58"/>
    <x v="10"/>
    <x v="381"/>
    <x v="411"/>
    <x v="65"/>
    <x v="60"/>
    <x v="346"/>
    <x v="520"/>
    <x v="15"/>
  </r>
  <r>
    <x v="0"/>
    <x v="58"/>
    <x v="58"/>
    <x v="18"/>
    <x v="18"/>
    <x v="18"/>
    <x v="10"/>
    <x v="381"/>
    <x v="411"/>
    <x v="56"/>
    <x v="600"/>
    <x v="427"/>
    <x v="510"/>
    <x v="15"/>
  </r>
  <r>
    <x v="0"/>
    <x v="58"/>
    <x v="58"/>
    <x v="54"/>
    <x v="54"/>
    <x v="54"/>
    <x v="13"/>
    <x v="382"/>
    <x v="368"/>
    <x v="65"/>
    <x v="60"/>
    <x v="427"/>
    <x v="510"/>
    <x v="15"/>
  </r>
  <r>
    <x v="0"/>
    <x v="58"/>
    <x v="58"/>
    <x v="63"/>
    <x v="63"/>
    <x v="63"/>
    <x v="13"/>
    <x v="382"/>
    <x v="368"/>
    <x v="66"/>
    <x v="209"/>
    <x v="348"/>
    <x v="518"/>
    <x v="15"/>
  </r>
  <r>
    <x v="0"/>
    <x v="58"/>
    <x v="58"/>
    <x v="11"/>
    <x v="11"/>
    <x v="11"/>
    <x v="13"/>
    <x v="382"/>
    <x v="368"/>
    <x v="48"/>
    <x v="349"/>
    <x v="427"/>
    <x v="510"/>
    <x v="15"/>
  </r>
  <r>
    <x v="0"/>
    <x v="58"/>
    <x v="58"/>
    <x v="55"/>
    <x v="55"/>
    <x v="55"/>
    <x v="13"/>
    <x v="382"/>
    <x v="368"/>
    <x v="48"/>
    <x v="349"/>
    <x v="427"/>
    <x v="510"/>
    <x v="15"/>
  </r>
  <r>
    <x v="0"/>
    <x v="58"/>
    <x v="58"/>
    <x v="9"/>
    <x v="9"/>
    <x v="9"/>
    <x v="13"/>
    <x v="382"/>
    <x v="368"/>
    <x v="65"/>
    <x v="60"/>
    <x v="427"/>
    <x v="510"/>
    <x v="15"/>
  </r>
  <r>
    <x v="0"/>
    <x v="58"/>
    <x v="58"/>
    <x v="64"/>
    <x v="64"/>
    <x v="64"/>
    <x v="18"/>
    <x v="383"/>
    <x v="570"/>
    <x v="65"/>
    <x v="60"/>
    <x v="348"/>
    <x v="518"/>
    <x v="15"/>
  </r>
  <r>
    <x v="0"/>
    <x v="58"/>
    <x v="58"/>
    <x v="33"/>
    <x v="33"/>
    <x v="33"/>
    <x v="18"/>
    <x v="383"/>
    <x v="570"/>
    <x v="65"/>
    <x v="60"/>
    <x v="348"/>
    <x v="518"/>
    <x v="15"/>
  </r>
  <r>
    <x v="0"/>
    <x v="58"/>
    <x v="58"/>
    <x v="41"/>
    <x v="41"/>
    <x v="41"/>
    <x v="18"/>
    <x v="383"/>
    <x v="570"/>
    <x v="66"/>
    <x v="209"/>
    <x v="427"/>
    <x v="510"/>
    <x v="15"/>
  </r>
  <r>
    <x v="0"/>
    <x v="58"/>
    <x v="58"/>
    <x v="23"/>
    <x v="23"/>
    <x v="23"/>
    <x v="18"/>
    <x v="383"/>
    <x v="570"/>
    <x v="66"/>
    <x v="209"/>
    <x v="427"/>
    <x v="510"/>
    <x v="15"/>
  </r>
  <r>
    <x v="0"/>
    <x v="58"/>
    <x v="58"/>
    <x v="15"/>
    <x v="15"/>
    <x v="15"/>
    <x v="18"/>
    <x v="383"/>
    <x v="570"/>
    <x v="66"/>
    <x v="209"/>
    <x v="427"/>
    <x v="510"/>
    <x v="15"/>
  </r>
  <r>
    <x v="0"/>
    <x v="58"/>
    <x v="58"/>
    <x v="56"/>
    <x v="56"/>
    <x v="56"/>
    <x v="18"/>
    <x v="383"/>
    <x v="570"/>
    <x v="65"/>
    <x v="60"/>
    <x v="427"/>
    <x v="510"/>
    <x v="15"/>
  </r>
  <r>
    <x v="0"/>
    <x v="58"/>
    <x v="58"/>
    <x v="2"/>
    <x v="2"/>
    <x v="2"/>
    <x v="18"/>
    <x v="383"/>
    <x v="570"/>
    <x v="65"/>
    <x v="60"/>
    <x v="348"/>
    <x v="518"/>
    <x v="15"/>
  </r>
  <r>
    <x v="0"/>
    <x v="58"/>
    <x v="58"/>
    <x v="44"/>
    <x v="44"/>
    <x v="44"/>
    <x v="18"/>
    <x v="383"/>
    <x v="570"/>
    <x v="65"/>
    <x v="60"/>
    <x v="348"/>
    <x v="518"/>
    <x v="15"/>
  </r>
  <r>
    <x v="0"/>
    <x v="58"/>
    <x v="58"/>
    <x v="45"/>
    <x v="45"/>
    <x v="45"/>
    <x v="18"/>
    <x v="383"/>
    <x v="570"/>
    <x v="66"/>
    <x v="209"/>
    <x v="427"/>
    <x v="510"/>
    <x v="15"/>
  </r>
  <r>
    <x v="0"/>
    <x v="58"/>
    <x v="58"/>
    <x v="62"/>
    <x v="62"/>
    <x v="62"/>
    <x v="18"/>
    <x v="383"/>
    <x v="570"/>
    <x v="65"/>
    <x v="60"/>
    <x v="427"/>
    <x v="510"/>
    <x v="15"/>
  </r>
  <r>
    <x v="0"/>
    <x v="59"/>
    <x v="59"/>
    <x v="50"/>
    <x v="50"/>
    <x v="50"/>
    <x v="0"/>
    <x v="499"/>
    <x v="571"/>
    <x v="117"/>
    <x v="601"/>
    <x v="346"/>
    <x v="522"/>
    <x v="15"/>
  </r>
  <r>
    <x v="0"/>
    <x v="59"/>
    <x v="59"/>
    <x v="1"/>
    <x v="1"/>
    <x v="1"/>
    <x v="1"/>
    <x v="377"/>
    <x v="572"/>
    <x v="46"/>
    <x v="602"/>
    <x v="427"/>
    <x v="510"/>
    <x v="15"/>
  </r>
  <r>
    <x v="0"/>
    <x v="59"/>
    <x v="59"/>
    <x v="7"/>
    <x v="7"/>
    <x v="7"/>
    <x v="2"/>
    <x v="524"/>
    <x v="573"/>
    <x v="81"/>
    <x v="69"/>
    <x v="427"/>
    <x v="510"/>
    <x v="15"/>
  </r>
  <r>
    <x v="0"/>
    <x v="59"/>
    <x v="59"/>
    <x v="4"/>
    <x v="4"/>
    <x v="4"/>
    <x v="2"/>
    <x v="524"/>
    <x v="573"/>
    <x v="44"/>
    <x v="400"/>
    <x v="347"/>
    <x v="523"/>
    <x v="15"/>
  </r>
  <r>
    <x v="0"/>
    <x v="59"/>
    <x v="59"/>
    <x v="3"/>
    <x v="3"/>
    <x v="3"/>
    <x v="4"/>
    <x v="379"/>
    <x v="574"/>
    <x v="44"/>
    <x v="400"/>
    <x v="427"/>
    <x v="510"/>
    <x v="15"/>
  </r>
  <r>
    <x v="0"/>
    <x v="59"/>
    <x v="59"/>
    <x v="8"/>
    <x v="8"/>
    <x v="8"/>
    <x v="5"/>
    <x v="525"/>
    <x v="392"/>
    <x v="45"/>
    <x v="603"/>
    <x v="348"/>
    <x v="524"/>
    <x v="15"/>
  </r>
  <r>
    <x v="0"/>
    <x v="59"/>
    <x v="59"/>
    <x v="10"/>
    <x v="10"/>
    <x v="10"/>
    <x v="6"/>
    <x v="526"/>
    <x v="575"/>
    <x v="48"/>
    <x v="6"/>
    <x v="346"/>
    <x v="522"/>
    <x v="15"/>
  </r>
  <r>
    <x v="0"/>
    <x v="59"/>
    <x v="59"/>
    <x v="25"/>
    <x v="25"/>
    <x v="25"/>
    <x v="6"/>
    <x v="526"/>
    <x v="575"/>
    <x v="45"/>
    <x v="603"/>
    <x v="427"/>
    <x v="510"/>
    <x v="15"/>
  </r>
  <r>
    <x v="0"/>
    <x v="59"/>
    <x v="59"/>
    <x v="6"/>
    <x v="6"/>
    <x v="6"/>
    <x v="8"/>
    <x v="380"/>
    <x v="26"/>
    <x v="55"/>
    <x v="604"/>
    <x v="427"/>
    <x v="510"/>
    <x v="15"/>
  </r>
  <r>
    <x v="0"/>
    <x v="59"/>
    <x v="59"/>
    <x v="9"/>
    <x v="9"/>
    <x v="9"/>
    <x v="8"/>
    <x v="380"/>
    <x v="26"/>
    <x v="48"/>
    <x v="6"/>
    <x v="427"/>
    <x v="510"/>
    <x v="15"/>
  </r>
  <r>
    <x v="0"/>
    <x v="59"/>
    <x v="59"/>
    <x v="47"/>
    <x v="47"/>
    <x v="47"/>
    <x v="10"/>
    <x v="382"/>
    <x v="187"/>
    <x v="48"/>
    <x v="6"/>
    <x v="427"/>
    <x v="510"/>
    <x v="15"/>
  </r>
  <r>
    <x v="0"/>
    <x v="59"/>
    <x v="59"/>
    <x v="13"/>
    <x v="13"/>
    <x v="13"/>
    <x v="10"/>
    <x v="382"/>
    <x v="187"/>
    <x v="48"/>
    <x v="6"/>
    <x v="427"/>
    <x v="510"/>
    <x v="15"/>
  </r>
  <r>
    <x v="0"/>
    <x v="59"/>
    <x v="59"/>
    <x v="60"/>
    <x v="60"/>
    <x v="60"/>
    <x v="10"/>
    <x v="382"/>
    <x v="187"/>
    <x v="65"/>
    <x v="60"/>
    <x v="427"/>
    <x v="510"/>
    <x v="15"/>
  </r>
  <r>
    <x v="0"/>
    <x v="59"/>
    <x v="59"/>
    <x v="52"/>
    <x v="52"/>
    <x v="52"/>
    <x v="13"/>
    <x v="383"/>
    <x v="560"/>
    <x v="66"/>
    <x v="123"/>
    <x v="427"/>
    <x v="510"/>
    <x v="15"/>
  </r>
  <r>
    <x v="0"/>
    <x v="59"/>
    <x v="59"/>
    <x v="64"/>
    <x v="64"/>
    <x v="64"/>
    <x v="13"/>
    <x v="383"/>
    <x v="560"/>
    <x v="65"/>
    <x v="60"/>
    <x v="348"/>
    <x v="524"/>
    <x v="15"/>
  </r>
  <r>
    <x v="0"/>
    <x v="59"/>
    <x v="59"/>
    <x v="58"/>
    <x v="58"/>
    <x v="58"/>
    <x v="13"/>
    <x v="383"/>
    <x v="560"/>
    <x v="65"/>
    <x v="60"/>
    <x v="348"/>
    <x v="524"/>
    <x v="15"/>
  </r>
  <r>
    <x v="0"/>
    <x v="59"/>
    <x v="59"/>
    <x v="54"/>
    <x v="54"/>
    <x v="54"/>
    <x v="13"/>
    <x v="383"/>
    <x v="560"/>
    <x v="65"/>
    <x v="60"/>
    <x v="427"/>
    <x v="510"/>
    <x v="15"/>
  </r>
  <r>
    <x v="0"/>
    <x v="59"/>
    <x v="59"/>
    <x v="65"/>
    <x v="65"/>
    <x v="65"/>
    <x v="13"/>
    <x v="383"/>
    <x v="560"/>
    <x v="65"/>
    <x v="60"/>
    <x v="427"/>
    <x v="510"/>
    <x v="3"/>
  </r>
  <r>
    <x v="0"/>
    <x v="59"/>
    <x v="59"/>
    <x v="35"/>
    <x v="35"/>
    <x v="35"/>
    <x v="13"/>
    <x v="383"/>
    <x v="560"/>
    <x v="66"/>
    <x v="123"/>
    <x v="427"/>
    <x v="510"/>
    <x v="15"/>
  </r>
  <r>
    <x v="0"/>
    <x v="59"/>
    <x v="59"/>
    <x v="41"/>
    <x v="41"/>
    <x v="41"/>
    <x v="13"/>
    <x v="383"/>
    <x v="560"/>
    <x v="65"/>
    <x v="60"/>
    <x v="348"/>
    <x v="524"/>
    <x v="15"/>
  </r>
  <r>
    <x v="0"/>
    <x v="59"/>
    <x v="59"/>
    <x v="66"/>
    <x v="66"/>
    <x v="66"/>
    <x v="13"/>
    <x v="383"/>
    <x v="560"/>
    <x v="65"/>
    <x v="60"/>
    <x v="348"/>
    <x v="524"/>
    <x v="15"/>
  </r>
  <r>
    <x v="0"/>
    <x v="59"/>
    <x v="59"/>
    <x v="23"/>
    <x v="23"/>
    <x v="23"/>
    <x v="13"/>
    <x v="383"/>
    <x v="560"/>
    <x v="66"/>
    <x v="123"/>
    <x v="427"/>
    <x v="510"/>
    <x v="15"/>
  </r>
  <r>
    <x v="0"/>
    <x v="59"/>
    <x v="59"/>
    <x v="18"/>
    <x v="18"/>
    <x v="18"/>
    <x v="13"/>
    <x v="383"/>
    <x v="560"/>
    <x v="66"/>
    <x v="123"/>
    <x v="427"/>
    <x v="510"/>
    <x v="15"/>
  </r>
  <r>
    <x v="0"/>
    <x v="59"/>
    <x v="59"/>
    <x v="55"/>
    <x v="55"/>
    <x v="55"/>
    <x v="13"/>
    <x v="383"/>
    <x v="560"/>
    <x v="66"/>
    <x v="123"/>
    <x v="427"/>
    <x v="510"/>
    <x v="15"/>
  </r>
  <r>
    <x v="0"/>
    <x v="59"/>
    <x v="59"/>
    <x v="2"/>
    <x v="2"/>
    <x v="2"/>
    <x v="13"/>
    <x v="383"/>
    <x v="560"/>
    <x v="66"/>
    <x v="123"/>
    <x v="427"/>
    <x v="510"/>
    <x v="15"/>
  </r>
  <r>
    <x v="0"/>
    <x v="59"/>
    <x v="59"/>
    <x v="43"/>
    <x v="43"/>
    <x v="43"/>
    <x v="13"/>
    <x v="383"/>
    <x v="560"/>
    <x v="65"/>
    <x v="60"/>
    <x v="348"/>
    <x v="524"/>
    <x v="15"/>
  </r>
  <r>
    <x v="0"/>
    <x v="59"/>
    <x v="59"/>
    <x v="5"/>
    <x v="5"/>
    <x v="5"/>
    <x v="13"/>
    <x v="383"/>
    <x v="560"/>
    <x v="66"/>
    <x v="123"/>
    <x v="427"/>
    <x v="510"/>
    <x v="15"/>
  </r>
  <r>
    <x v="0"/>
    <x v="59"/>
    <x v="59"/>
    <x v="44"/>
    <x v="44"/>
    <x v="44"/>
    <x v="13"/>
    <x v="383"/>
    <x v="560"/>
    <x v="65"/>
    <x v="60"/>
    <x v="348"/>
    <x v="524"/>
    <x v="15"/>
  </r>
  <r>
    <x v="0"/>
    <x v="60"/>
    <x v="60"/>
    <x v="50"/>
    <x v="50"/>
    <x v="50"/>
    <x v="0"/>
    <x v="461"/>
    <x v="576"/>
    <x v="50"/>
    <x v="605"/>
    <x v="347"/>
    <x v="525"/>
    <x v="15"/>
  </r>
  <r>
    <x v="0"/>
    <x v="60"/>
    <x v="60"/>
    <x v="1"/>
    <x v="1"/>
    <x v="1"/>
    <x v="1"/>
    <x v="463"/>
    <x v="577"/>
    <x v="89"/>
    <x v="606"/>
    <x v="348"/>
    <x v="351"/>
    <x v="15"/>
  </r>
  <r>
    <x v="0"/>
    <x v="60"/>
    <x v="60"/>
    <x v="25"/>
    <x v="25"/>
    <x v="25"/>
    <x v="2"/>
    <x v="515"/>
    <x v="578"/>
    <x v="74"/>
    <x v="607"/>
    <x v="346"/>
    <x v="526"/>
    <x v="15"/>
  </r>
  <r>
    <x v="0"/>
    <x v="60"/>
    <x v="60"/>
    <x v="3"/>
    <x v="3"/>
    <x v="3"/>
    <x v="3"/>
    <x v="506"/>
    <x v="579"/>
    <x v="54"/>
    <x v="366"/>
    <x v="427"/>
    <x v="510"/>
    <x v="15"/>
  </r>
  <r>
    <x v="0"/>
    <x v="60"/>
    <x v="60"/>
    <x v="7"/>
    <x v="7"/>
    <x v="7"/>
    <x v="4"/>
    <x v="507"/>
    <x v="580"/>
    <x v="76"/>
    <x v="608"/>
    <x v="346"/>
    <x v="526"/>
    <x v="15"/>
  </r>
  <r>
    <x v="0"/>
    <x v="60"/>
    <x v="60"/>
    <x v="4"/>
    <x v="4"/>
    <x v="4"/>
    <x v="4"/>
    <x v="507"/>
    <x v="580"/>
    <x v="55"/>
    <x v="609"/>
    <x v="422"/>
    <x v="527"/>
    <x v="15"/>
  </r>
  <r>
    <x v="0"/>
    <x v="60"/>
    <x v="60"/>
    <x v="8"/>
    <x v="8"/>
    <x v="8"/>
    <x v="6"/>
    <x v="524"/>
    <x v="344"/>
    <x v="56"/>
    <x v="445"/>
    <x v="344"/>
    <x v="528"/>
    <x v="15"/>
  </r>
  <r>
    <x v="0"/>
    <x v="60"/>
    <x v="60"/>
    <x v="6"/>
    <x v="6"/>
    <x v="6"/>
    <x v="6"/>
    <x v="524"/>
    <x v="344"/>
    <x v="47"/>
    <x v="610"/>
    <x v="346"/>
    <x v="526"/>
    <x v="15"/>
  </r>
  <r>
    <x v="0"/>
    <x v="60"/>
    <x v="60"/>
    <x v="10"/>
    <x v="10"/>
    <x v="10"/>
    <x v="8"/>
    <x v="379"/>
    <x v="462"/>
    <x v="55"/>
    <x v="609"/>
    <x v="346"/>
    <x v="526"/>
    <x v="15"/>
  </r>
  <r>
    <x v="0"/>
    <x v="60"/>
    <x v="60"/>
    <x v="52"/>
    <x v="52"/>
    <x v="52"/>
    <x v="9"/>
    <x v="526"/>
    <x v="394"/>
    <x v="45"/>
    <x v="517"/>
    <x v="427"/>
    <x v="510"/>
    <x v="15"/>
  </r>
  <r>
    <x v="0"/>
    <x v="60"/>
    <x v="60"/>
    <x v="18"/>
    <x v="18"/>
    <x v="18"/>
    <x v="9"/>
    <x v="526"/>
    <x v="394"/>
    <x v="56"/>
    <x v="445"/>
    <x v="347"/>
    <x v="525"/>
    <x v="15"/>
  </r>
  <r>
    <x v="0"/>
    <x v="60"/>
    <x v="60"/>
    <x v="35"/>
    <x v="35"/>
    <x v="35"/>
    <x v="11"/>
    <x v="380"/>
    <x v="84"/>
    <x v="48"/>
    <x v="133"/>
    <x v="347"/>
    <x v="525"/>
    <x v="15"/>
  </r>
  <r>
    <x v="0"/>
    <x v="60"/>
    <x v="60"/>
    <x v="0"/>
    <x v="0"/>
    <x v="0"/>
    <x v="11"/>
    <x v="380"/>
    <x v="84"/>
    <x v="55"/>
    <x v="609"/>
    <x v="427"/>
    <x v="510"/>
    <x v="15"/>
  </r>
  <r>
    <x v="0"/>
    <x v="60"/>
    <x v="60"/>
    <x v="28"/>
    <x v="28"/>
    <x v="28"/>
    <x v="13"/>
    <x v="381"/>
    <x v="103"/>
    <x v="56"/>
    <x v="445"/>
    <x v="427"/>
    <x v="510"/>
    <x v="15"/>
  </r>
  <r>
    <x v="0"/>
    <x v="60"/>
    <x v="60"/>
    <x v="14"/>
    <x v="14"/>
    <x v="14"/>
    <x v="13"/>
    <x v="381"/>
    <x v="103"/>
    <x v="66"/>
    <x v="322"/>
    <x v="347"/>
    <x v="525"/>
    <x v="15"/>
  </r>
  <r>
    <x v="0"/>
    <x v="60"/>
    <x v="60"/>
    <x v="23"/>
    <x v="23"/>
    <x v="23"/>
    <x v="15"/>
    <x v="382"/>
    <x v="581"/>
    <x v="48"/>
    <x v="133"/>
    <x v="427"/>
    <x v="510"/>
    <x v="15"/>
  </r>
  <r>
    <x v="0"/>
    <x v="60"/>
    <x v="60"/>
    <x v="21"/>
    <x v="21"/>
    <x v="21"/>
    <x v="15"/>
    <x v="382"/>
    <x v="581"/>
    <x v="48"/>
    <x v="133"/>
    <x v="427"/>
    <x v="510"/>
    <x v="15"/>
  </r>
  <r>
    <x v="0"/>
    <x v="60"/>
    <x v="60"/>
    <x v="11"/>
    <x v="11"/>
    <x v="11"/>
    <x v="15"/>
    <x v="382"/>
    <x v="581"/>
    <x v="48"/>
    <x v="133"/>
    <x v="427"/>
    <x v="510"/>
    <x v="15"/>
  </r>
  <r>
    <x v="0"/>
    <x v="60"/>
    <x v="60"/>
    <x v="2"/>
    <x v="2"/>
    <x v="2"/>
    <x v="15"/>
    <x v="382"/>
    <x v="581"/>
    <x v="66"/>
    <x v="322"/>
    <x v="348"/>
    <x v="351"/>
    <x v="15"/>
  </r>
  <r>
    <x v="0"/>
    <x v="60"/>
    <x v="60"/>
    <x v="13"/>
    <x v="13"/>
    <x v="13"/>
    <x v="15"/>
    <x v="382"/>
    <x v="581"/>
    <x v="66"/>
    <x v="322"/>
    <x v="348"/>
    <x v="351"/>
    <x v="15"/>
  </r>
  <r>
    <x v="0"/>
    <x v="61"/>
    <x v="61"/>
    <x v="63"/>
    <x v="63"/>
    <x v="63"/>
    <x v="0"/>
    <x v="525"/>
    <x v="582"/>
    <x v="47"/>
    <x v="611"/>
    <x v="427"/>
    <x v="510"/>
    <x v="15"/>
  </r>
  <r>
    <x v="0"/>
    <x v="61"/>
    <x v="61"/>
    <x v="4"/>
    <x v="4"/>
    <x v="4"/>
    <x v="1"/>
    <x v="381"/>
    <x v="583"/>
    <x v="66"/>
    <x v="498"/>
    <x v="347"/>
    <x v="529"/>
    <x v="15"/>
  </r>
  <r>
    <x v="0"/>
    <x v="61"/>
    <x v="61"/>
    <x v="50"/>
    <x v="50"/>
    <x v="50"/>
    <x v="1"/>
    <x v="381"/>
    <x v="583"/>
    <x v="56"/>
    <x v="612"/>
    <x v="427"/>
    <x v="510"/>
    <x v="15"/>
  </r>
  <r>
    <x v="0"/>
    <x v="61"/>
    <x v="61"/>
    <x v="1"/>
    <x v="1"/>
    <x v="1"/>
    <x v="3"/>
    <x v="383"/>
    <x v="580"/>
    <x v="66"/>
    <x v="498"/>
    <x v="427"/>
    <x v="510"/>
    <x v="15"/>
  </r>
  <r>
    <x v="0"/>
    <x v="61"/>
    <x v="61"/>
    <x v="43"/>
    <x v="43"/>
    <x v="43"/>
    <x v="3"/>
    <x v="383"/>
    <x v="580"/>
    <x v="66"/>
    <x v="498"/>
    <x v="427"/>
    <x v="510"/>
    <x v="15"/>
  </r>
  <r>
    <x v="0"/>
    <x v="61"/>
    <x v="61"/>
    <x v="3"/>
    <x v="3"/>
    <x v="3"/>
    <x v="3"/>
    <x v="383"/>
    <x v="580"/>
    <x v="66"/>
    <x v="498"/>
    <x v="427"/>
    <x v="510"/>
    <x v="15"/>
  </r>
  <r>
    <x v="0"/>
    <x v="61"/>
    <x v="61"/>
    <x v="25"/>
    <x v="25"/>
    <x v="25"/>
    <x v="3"/>
    <x v="383"/>
    <x v="580"/>
    <x v="65"/>
    <x v="60"/>
    <x v="348"/>
    <x v="530"/>
    <x v="15"/>
  </r>
  <r>
    <x v="0"/>
    <x v="62"/>
    <x v="62"/>
    <x v="1"/>
    <x v="1"/>
    <x v="1"/>
    <x v="0"/>
    <x v="527"/>
    <x v="584"/>
    <x v="328"/>
    <x v="613"/>
    <x v="415"/>
    <x v="531"/>
    <x v="15"/>
  </r>
  <r>
    <x v="0"/>
    <x v="62"/>
    <x v="62"/>
    <x v="50"/>
    <x v="50"/>
    <x v="50"/>
    <x v="1"/>
    <x v="375"/>
    <x v="585"/>
    <x v="89"/>
    <x v="614"/>
    <x v="344"/>
    <x v="383"/>
    <x v="15"/>
  </r>
  <r>
    <x v="0"/>
    <x v="62"/>
    <x v="62"/>
    <x v="3"/>
    <x v="3"/>
    <x v="3"/>
    <x v="2"/>
    <x v="464"/>
    <x v="586"/>
    <x v="127"/>
    <x v="615"/>
    <x v="348"/>
    <x v="532"/>
    <x v="15"/>
  </r>
  <r>
    <x v="0"/>
    <x v="62"/>
    <x v="62"/>
    <x v="7"/>
    <x v="7"/>
    <x v="7"/>
    <x v="3"/>
    <x v="501"/>
    <x v="416"/>
    <x v="74"/>
    <x v="616"/>
    <x v="339"/>
    <x v="160"/>
    <x v="3"/>
  </r>
  <r>
    <x v="0"/>
    <x v="62"/>
    <x v="62"/>
    <x v="4"/>
    <x v="4"/>
    <x v="4"/>
    <x v="4"/>
    <x v="377"/>
    <x v="111"/>
    <x v="76"/>
    <x v="617"/>
    <x v="310"/>
    <x v="374"/>
    <x v="15"/>
  </r>
  <r>
    <x v="0"/>
    <x v="62"/>
    <x v="62"/>
    <x v="8"/>
    <x v="8"/>
    <x v="8"/>
    <x v="5"/>
    <x v="513"/>
    <x v="301"/>
    <x v="56"/>
    <x v="618"/>
    <x v="395"/>
    <x v="533"/>
    <x v="15"/>
  </r>
  <r>
    <x v="0"/>
    <x v="62"/>
    <x v="62"/>
    <x v="52"/>
    <x v="52"/>
    <x v="52"/>
    <x v="6"/>
    <x v="505"/>
    <x v="575"/>
    <x v="76"/>
    <x v="617"/>
    <x v="339"/>
    <x v="160"/>
    <x v="3"/>
  </r>
  <r>
    <x v="0"/>
    <x v="62"/>
    <x v="62"/>
    <x v="6"/>
    <x v="6"/>
    <x v="6"/>
    <x v="7"/>
    <x v="508"/>
    <x v="233"/>
    <x v="45"/>
    <x v="575"/>
    <x v="339"/>
    <x v="160"/>
    <x v="15"/>
  </r>
  <r>
    <x v="0"/>
    <x v="62"/>
    <x v="62"/>
    <x v="25"/>
    <x v="25"/>
    <x v="25"/>
    <x v="7"/>
    <x v="508"/>
    <x v="233"/>
    <x v="44"/>
    <x v="619"/>
    <x v="346"/>
    <x v="386"/>
    <x v="15"/>
  </r>
  <r>
    <x v="0"/>
    <x v="62"/>
    <x v="62"/>
    <x v="5"/>
    <x v="5"/>
    <x v="5"/>
    <x v="7"/>
    <x v="508"/>
    <x v="233"/>
    <x v="44"/>
    <x v="619"/>
    <x v="346"/>
    <x v="386"/>
    <x v="15"/>
  </r>
  <r>
    <x v="0"/>
    <x v="62"/>
    <x v="62"/>
    <x v="18"/>
    <x v="18"/>
    <x v="18"/>
    <x v="10"/>
    <x v="524"/>
    <x v="587"/>
    <x v="55"/>
    <x v="403"/>
    <x v="339"/>
    <x v="160"/>
    <x v="15"/>
  </r>
  <r>
    <x v="0"/>
    <x v="62"/>
    <x v="62"/>
    <x v="9"/>
    <x v="9"/>
    <x v="9"/>
    <x v="10"/>
    <x v="524"/>
    <x v="587"/>
    <x v="81"/>
    <x v="620"/>
    <x v="427"/>
    <x v="510"/>
    <x v="15"/>
  </r>
  <r>
    <x v="0"/>
    <x v="62"/>
    <x v="62"/>
    <x v="35"/>
    <x v="35"/>
    <x v="35"/>
    <x v="12"/>
    <x v="378"/>
    <x v="35"/>
    <x v="45"/>
    <x v="575"/>
    <x v="346"/>
    <x v="386"/>
    <x v="15"/>
  </r>
  <r>
    <x v="0"/>
    <x v="62"/>
    <x v="62"/>
    <x v="0"/>
    <x v="0"/>
    <x v="0"/>
    <x v="12"/>
    <x v="378"/>
    <x v="35"/>
    <x v="47"/>
    <x v="621"/>
    <x v="347"/>
    <x v="225"/>
    <x v="15"/>
  </r>
  <r>
    <x v="0"/>
    <x v="62"/>
    <x v="62"/>
    <x v="13"/>
    <x v="13"/>
    <x v="13"/>
    <x v="12"/>
    <x v="378"/>
    <x v="35"/>
    <x v="45"/>
    <x v="575"/>
    <x v="347"/>
    <x v="225"/>
    <x v="15"/>
  </r>
  <r>
    <x v="0"/>
    <x v="62"/>
    <x v="62"/>
    <x v="11"/>
    <x v="11"/>
    <x v="11"/>
    <x v="15"/>
    <x v="379"/>
    <x v="347"/>
    <x v="47"/>
    <x v="621"/>
    <x v="348"/>
    <x v="532"/>
    <x v="15"/>
  </r>
  <r>
    <x v="0"/>
    <x v="62"/>
    <x v="62"/>
    <x v="14"/>
    <x v="14"/>
    <x v="14"/>
    <x v="15"/>
    <x v="379"/>
    <x v="347"/>
    <x v="48"/>
    <x v="532"/>
    <x v="345"/>
    <x v="534"/>
    <x v="3"/>
  </r>
  <r>
    <x v="0"/>
    <x v="62"/>
    <x v="62"/>
    <x v="10"/>
    <x v="10"/>
    <x v="10"/>
    <x v="17"/>
    <x v="525"/>
    <x v="104"/>
    <x v="66"/>
    <x v="15"/>
    <x v="339"/>
    <x v="160"/>
    <x v="15"/>
  </r>
  <r>
    <x v="0"/>
    <x v="62"/>
    <x v="62"/>
    <x v="55"/>
    <x v="55"/>
    <x v="55"/>
    <x v="17"/>
    <x v="525"/>
    <x v="104"/>
    <x v="55"/>
    <x v="403"/>
    <x v="347"/>
    <x v="225"/>
    <x v="15"/>
  </r>
  <r>
    <x v="0"/>
    <x v="62"/>
    <x v="62"/>
    <x v="64"/>
    <x v="64"/>
    <x v="64"/>
    <x v="19"/>
    <x v="380"/>
    <x v="438"/>
    <x v="65"/>
    <x v="60"/>
    <x v="345"/>
    <x v="534"/>
    <x v="15"/>
  </r>
  <r>
    <x v="0"/>
    <x v="62"/>
    <x v="62"/>
    <x v="23"/>
    <x v="23"/>
    <x v="23"/>
    <x v="19"/>
    <x v="380"/>
    <x v="438"/>
    <x v="48"/>
    <x v="532"/>
    <x v="347"/>
    <x v="225"/>
    <x v="15"/>
  </r>
  <r>
    <x v="0"/>
    <x v="62"/>
    <x v="62"/>
    <x v="21"/>
    <x v="21"/>
    <x v="21"/>
    <x v="19"/>
    <x v="380"/>
    <x v="438"/>
    <x v="65"/>
    <x v="60"/>
    <x v="345"/>
    <x v="534"/>
    <x v="15"/>
  </r>
  <r>
    <x v="0"/>
    <x v="62"/>
    <x v="62"/>
    <x v="43"/>
    <x v="43"/>
    <x v="43"/>
    <x v="19"/>
    <x v="380"/>
    <x v="438"/>
    <x v="56"/>
    <x v="618"/>
    <x v="427"/>
    <x v="510"/>
    <x v="15"/>
  </r>
  <r>
    <x v="0"/>
    <x v="63"/>
    <x v="63"/>
    <x v="50"/>
    <x v="50"/>
    <x v="50"/>
    <x v="0"/>
    <x v="380"/>
    <x v="588"/>
    <x v="56"/>
    <x v="622"/>
    <x v="348"/>
    <x v="522"/>
    <x v="15"/>
  </r>
  <r>
    <x v="0"/>
    <x v="63"/>
    <x v="63"/>
    <x v="1"/>
    <x v="1"/>
    <x v="1"/>
    <x v="1"/>
    <x v="382"/>
    <x v="589"/>
    <x v="48"/>
    <x v="623"/>
    <x v="427"/>
    <x v="510"/>
    <x v="15"/>
  </r>
  <r>
    <x v="0"/>
    <x v="63"/>
    <x v="63"/>
    <x v="10"/>
    <x v="10"/>
    <x v="10"/>
    <x v="2"/>
    <x v="383"/>
    <x v="590"/>
    <x v="65"/>
    <x v="60"/>
    <x v="348"/>
    <x v="522"/>
    <x v="15"/>
  </r>
  <r>
    <x v="0"/>
    <x v="63"/>
    <x v="63"/>
    <x v="64"/>
    <x v="64"/>
    <x v="64"/>
    <x v="2"/>
    <x v="383"/>
    <x v="590"/>
    <x v="65"/>
    <x v="60"/>
    <x v="348"/>
    <x v="522"/>
    <x v="15"/>
  </r>
  <r>
    <x v="0"/>
    <x v="63"/>
    <x v="63"/>
    <x v="38"/>
    <x v="38"/>
    <x v="38"/>
    <x v="2"/>
    <x v="383"/>
    <x v="590"/>
    <x v="65"/>
    <x v="60"/>
    <x v="348"/>
    <x v="522"/>
    <x v="15"/>
  </r>
  <r>
    <x v="0"/>
    <x v="63"/>
    <x v="63"/>
    <x v="7"/>
    <x v="7"/>
    <x v="7"/>
    <x v="2"/>
    <x v="383"/>
    <x v="590"/>
    <x v="66"/>
    <x v="624"/>
    <x v="427"/>
    <x v="510"/>
    <x v="15"/>
  </r>
  <r>
    <x v="0"/>
    <x v="63"/>
    <x v="63"/>
    <x v="44"/>
    <x v="44"/>
    <x v="44"/>
    <x v="2"/>
    <x v="383"/>
    <x v="590"/>
    <x v="65"/>
    <x v="60"/>
    <x v="427"/>
    <x v="510"/>
    <x v="15"/>
  </r>
  <r>
    <x v="0"/>
    <x v="63"/>
    <x v="63"/>
    <x v="45"/>
    <x v="45"/>
    <x v="45"/>
    <x v="2"/>
    <x v="383"/>
    <x v="590"/>
    <x v="65"/>
    <x v="60"/>
    <x v="348"/>
    <x v="522"/>
    <x v="15"/>
  </r>
  <r>
    <x v="0"/>
    <x v="64"/>
    <x v="64"/>
    <x v="50"/>
    <x v="50"/>
    <x v="50"/>
    <x v="0"/>
    <x v="436"/>
    <x v="591"/>
    <x v="64"/>
    <x v="625"/>
    <x v="420"/>
    <x v="535"/>
    <x v="15"/>
  </r>
  <r>
    <x v="0"/>
    <x v="64"/>
    <x v="64"/>
    <x v="1"/>
    <x v="1"/>
    <x v="1"/>
    <x v="1"/>
    <x v="464"/>
    <x v="592"/>
    <x v="102"/>
    <x v="626"/>
    <x v="339"/>
    <x v="526"/>
    <x v="15"/>
  </r>
  <r>
    <x v="0"/>
    <x v="64"/>
    <x v="64"/>
    <x v="0"/>
    <x v="0"/>
    <x v="0"/>
    <x v="2"/>
    <x v="501"/>
    <x v="250"/>
    <x v="136"/>
    <x v="627"/>
    <x v="347"/>
    <x v="70"/>
    <x v="15"/>
  </r>
  <r>
    <x v="0"/>
    <x v="64"/>
    <x v="64"/>
    <x v="4"/>
    <x v="4"/>
    <x v="4"/>
    <x v="3"/>
    <x v="377"/>
    <x v="396"/>
    <x v="147"/>
    <x v="628"/>
    <x v="344"/>
    <x v="536"/>
    <x v="15"/>
  </r>
  <r>
    <x v="0"/>
    <x v="64"/>
    <x v="64"/>
    <x v="8"/>
    <x v="8"/>
    <x v="8"/>
    <x v="4"/>
    <x v="378"/>
    <x v="301"/>
    <x v="65"/>
    <x v="60"/>
    <x v="310"/>
    <x v="537"/>
    <x v="15"/>
  </r>
  <r>
    <x v="0"/>
    <x v="64"/>
    <x v="64"/>
    <x v="25"/>
    <x v="25"/>
    <x v="25"/>
    <x v="4"/>
    <x v="378"/>
    <x v="301"/>
    <x v="56"/>
    <x v="629"/>
    <x v="339"/>
    <x v="526"/>
    <x v="15"/>
  </r>
  <r>
    <x v="0"/>
    <x v="64"/>
    <x v="64"/>
    <x v="10"/>
    <x v="10"/>
    <x v="10"/>
    <x v="6"/>
    <x v="525"/>
    <x v="593"/>
    <x v="66"/>
    <x v="209"/>
    <x v="339"/>
    <x v="526"/>
    <x v="15"/>
  </r>
  <r>
    <x v="0"/>
    <x v="64"/>
    <x v="64"/>
    <x v="7"/>
    <x v="7"/>
    <x v="7"/>
    <x v="7"/>
    <x v="526"/>
    <x v="98"/>
    <x v="55"/>
    <x v="313"/>
    <x v="348"/>
    <x v="538"/>
    <x v="15"/>
  </r>
  <r>
    <x v="0"/>
    <x v="64"/>
    <x v="64"/>
    <x v="13"/>
    <x v="13"/>
    <x v="13"/>
    <x v="7"/>
    <x v="526"/>
    <x v="98"/>
    <x v="66"/>
    <x v="209"/>
    <x v="346"/>
    <x v="230"/>
    <x v="3"/>
  </r>
  <r>
    <x v="0"/>
    <x v="64"/>
    <x v="64"/>
    <x v="27"/>
    <x v="27"/>
    <x v="27"/>
    <x v="7"/>
    <x v="526"/>
    <x v="98"/>
    <x v="55"/>
    <x v="313"/>
    <x v="348"/>
    <x v="538"/>
    <x v="15"/>
  </r>
  <r>
    <x v="0"/>
    <x v="64"/>
    <x v="64"/>
    <x v="6"/>
    <x v="6"/>
    <x v="6"/>
    <x v="10"/>
    <x v="380"/>
    <x v="284"/>
    <x v="66"/>
    <x v="209"/>
    <x v="346"/>
    <x v="230"/>
    <x v="15"/>
  </r>
  <r>
    <x v="0"/>
    <x v="64"/>
    <x v="64"/>
    <x v="11"/>
    <x v="11"/>
    <x v="11"/>
    <x v="10"/>
    <x v="380"/>
    <x v="284"/>
    <x v="55"/>
    <x v="313"/>
    <x v="427"/>
    <x v="510"/>
    <x v="15"/>
  </r>
  <r>
    <x v="0"/>
    <x v="64"/>
    <x v="64"/>
    <x v="43"/>
    <x v="43"/>
    <x v="43"/>
    <x v="10"/>
    <x v="380"/>
    <x v="284"/>
    <x v="56"/>
    <x v="629"/>
    <x v="348"/>
    <x v="538"/>
    <x v="15"/>
  </r>
  <r>
    <x v="0"/>
    <x v="64"/>
    <x v="64"/>
    <x v="63"/>
    <x v="63"/>
    <x v="63"/>
    <x v="13"/>
    <x v="381"/>
    <x v="236"/>
    <x v="66"/>
    <x v="209"/>
    <x v="347"/>
    <x v="70"/>
    <x v="15"/>
  </r>
  <r>
    <x v="0"/>
    <x v="64"/>
    <x v="64"/>
    <x v="42"/>
    <x v="42"/>
    <x v="42"/>
    <x v="13"/>
    <x v="381"/>
    <x v="236"/>
    <x v="65"/>
    <x v="60"/>
    <x v="346"/>
    <x v="230"/>
    <x v="15"/>
  </r>
  <r>
    <x v="0"/>
    <x v="64"/>
    <x v="64"/>
    <x v="56"/>
    <x v="56"/>
    <x v="56"/>
    <x v="13"/>
    <x v="381"/>
    <x v="236"/>
    <x v="65"/>
    <x v="60"/>
    <x v="346"/>
    <x v="230"/>
    <x v="15"/>
  </r>
  <r>
    <x v="0"/>
    <x v="64"/>
    <x v="64"/>
    <x v="3"/>
    <x v="3"/>
    <x v="3"/>
    <x v="13"/>
    <x v="381"/>
    <x v="236"/>
    <x v="56"/>
    <x v="629"/>
    <x v="427"/>
    <x v="510"/>
    <x v="15"/>
  </r>
  <r>
    <x v="0"/>
    <x v="64"/>
    <x v="64"/>
    <x v="52"/>
    <x v="52"/>
    <x v="52"/>
    <x v="17"/>
    <x v="382"/>
    <x v="594"/>
    <x v="66"/>
    <x v="209"/>
    <x v="348"/>
    <x v="538"/>
    <x v="15"/>
  </r>
  <r>
    <x v="0"/>
    <x v="64"/>
    <x v="64"/>
    <x v="38"/>
    <x v="38"/>
    <x v="38"/>
    <x v="17"/>
    <x v="382"/>
    <x v="594"/>
    <x v="66"/>
    <x v="209"/>
    <x v="348"/>
    <x v="538"/>
    <x v="15"/>
  </r>
  <r>
    <x v="0"/>
    <x v="64"/>
    <x v="64"/>
    <x v="5"/>
    <x v="5"/>
    <x v="5"/>
    <x v="17"/>
    <x v="382"/>
    <x v="594"/>
    <x v="48"/>
    <x v="276"/>
    <x v="427"/>
    <x v="510"/>
    <x v="15"/>
  </r>
  <r>
    <x v="0"/>
    <x v="64"/>
    <x v="64"/>
    <x v="37"/>
    <x v="37"/>
    <x v="37"/>
    <x v="17"/>
    <x v="382"/>
    <x v="594"/>
    <x v="65"/>
    <x v="60"/>
    <x v="347"/>
    <x v="70"/>
    <x v="15"/>
  </r>
  <r>
    <x v="0"/>
    <x v="64"/>
    <x v="64"/>
    <x v="14"/>
    <x v="14"/>
    <x v="14"/>
    <x v="17"/>
    <x v="382"/>
    <x v="594"/>
    <x v="65"/>
    <x v="60"/>
    <x v="347"/>
    <x v="70"/>
    <x v="1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6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5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1"/>
    <x v="12"/>
    <x v="12"/>
    <x v="12"/>
    <x v="12"/>
    <x v="7"/>
  </r>
  <r>
    <x v="0"/>
    <x v="0"/>
    <x v="0"/>
    <x v="13"/>
    <x v="13"/>
    <x v="13"/>
    <x v="13"/>
    <x v="13"/>
    <x v="12"/>
    <x v="13"/>
    <x v="13"/>
    <x v="13"/>
    <x v="13"/>
    <x v="2"/>
  </r>
  <r>
    <x v="0"/>
    <x v="0"/>
    <x v="0"/>
    <x v="14"/>
    <x v="14"/>
    <x v="14"/>
    <x v="14"/>
    <x v="14"/>
    <x v="13"/>
    <x v="14"/>
    <x v="14"/>
    <x v="14"/>
    <x v="14"/>
    <x v="8"/>
  </r>
  <r>
    <x v="0"/>
    <x v="0"/>
    <x v="0"/>
    <x v="15"/>
    <x v="15"/>
    <x v="15"/>
    <x v="15"/>
    <x v="15"/>
    <x v="14"/>
    <x v="15"/>
    <x v="15"/>
    <x v="15"/>
    <x v="15"/>
    <x v="9"/>
  </r>
  <r>
    <x v="0"/>
    <x v="0"/>
    <x v="0"/>
    <x v="16"/>
    <x v="16"/>
    <x v="16"/>
    <x v="16"/>
    <x v="16"/>
    <x v="15"/>
    <x v="16"/>
    <x v="16"/>
    <x v="16"/>
    <x v="16"/>
    <x v="3"/>
  </r>
  <r>
    <x v="0"/>
    <x v="0"/>
    <x v="0"/>
    <x v="17"/>
    <x v="17"/>
    <x v="17"/>
    <x v="17"/>
    <x v="17"/>
    <x v="16"/>
    <x v="17"/>
    <x v="17"/>
    <x v="17"/>
    <x v="17"/>
    <x v="5"/>
  </r>
  <r>
    <x v="0"/>
    <x v="0"/>
    <x v="0"/>
    <x v="18"/>
    <x v="18"/>
    <x v="18"/>
    <x v="18"/>
    <x v="18"/>
    <x v="17"/>
    <x v="18"/>
    <x v="18"/>
    <x v="18"/>
    <x v="18"/>
    <x v="10"/>
  </r>
  <r>
    <x v="0"/>
    <x v="0"/>
    <x v="0"/>
    <x v="19"/>
    <x v="19"/>
    <x v="19"/>
    <x v="19"/>
    <x v="19"/>
    <x v="18"/>
    <x v="19"/>
    <x v="19"/>
    <x v="19"/>
    <x v="19"/>
    <x v="1"/>
  </r>
  <r>
    <x v="0"/>
    <x v="1"/>
    <x v="1"/>
    <x v="0"/>
    <x v="0"/>
    <x v="0"/>
    <x v="0"/>
    <x v="20"/>
    <x v="19"/>
    <x v="20"/>
    <x v="20"/>
    <x v="20"/>
    <x v="20"/>
    <x v="0"/>
  </r>
  <r>
    <x v="0"/>
    <x v="1"/>
    <x v="1"/>
    <x v="1"/>
    <x v="1"/>
    <x v="1"/>
    <x v="1"/>
    <x v="21"/>
    <x v="20"/>
    <x v="21"/>
    <x v="21"/>
    <x v="21"/>
    <x v="21"/>
    <x v="1"/>
  </r>
  <r>
    <x v="0"/>
    <x v="1"/>
    <x v="1"/>
    <x v="2"/>
    <x v="2"/>
    <x v="2"/>
    <x v="2"/>
    <x v="22"/>
    <x v="21"/>
    <x v="22"/>
    <x v="22"/>
    <x v="22"/>
    <x v="22"/>
    <x v="2"/>
  </r>
  <r>
    <x v="0"/>
    <x v="1"/>
    <x v="1"/>
    <x v="3"/>
    <x v="3"/>
    <x v="3"/>
    <x v="3"/>
    <x v="23"/>
    <x v="22"/>
    <x v="23"/>
    <x v="23"/>
    <x v="23"/>
    <x v="23"/>
    <x v="2"/>
  </r>
  <r>
    <x v="0"/>
    <x v="1"/>
    <x v="1"/>
    <x v="5"/>
    <x v="5"/>
    <x v="5"/>
    <x v="4"/>
    <x v="24"/>
    <x v="23"/>
    <x v="24"/>
    <x v="24"/>
    <x v="24"/>
    <x v="24"/>
    <x v="3"/>
  </r>
  <r>
    <x v="0"/>
    <x v="1"/>
    <x v="1"/>
    <x v="4"/>
    <x v="4"/>
    <x v="4"/>
    <x v="5"/>
    <x v="25"/>
    <x v="24"/>
    <x v="25"/>
    <x v="25"/>
    <x v="25"/>
    <x v="25"/>
    <x v="11"/>
  </r>
  <r>
    <x v="0"/>
    <x v="1"/>
    <x v="1"/>
    <x v="6"/>
    <x v="6"/>
    <x v="6"/>
    <x v="6"/>
    <x v="26"/>
    <x v="25"/>
    <x v="26"/>
    <x v="26"/>
    <x v="26"/>
    <x v="6"/>
    <x v="3"/>
  </r>
  <r>
    <x v="0"/>
    <x v="1"/>
    <x v="1"/>
    <x v="9"/>
    <x v="9"/>
    <x v="9"/>
    <x v="7"/>
    <x v="27"/>
    <x v="26"/>
    <x v="27"/>
    <x v="27"/>
    <x v="27"/>
    <x v="26"/>
    <x v="2"/>
  </r>
  <r>
    <x v="0"/>
    <x v="1"/>
    <x v="1"/>
    <x v="7"/>
    <x v="7"/>
    <x v="7"/>
    <x v="8"/>
    <x v="28"/>
    <x v="27"/>
    <x v="28"/>
    <x v="28"/>
    <x v="28"/>
    <x v="27"/>
    <x v="3"/>
  </r>
  <r>
    <x v="0"/>
    <x v="1"/>
    <x v="1"/>
    <x v="12"/>
    <x v="12"/>
    <x v="12"/>
    <x v="9"/>
    <x v="29"/>
    <x v="28"/>
    <x v="29"/>
    <x v="29"/>
    <x v="29"/>
    <x v="28"/>
    <x v="12"/>
  </r>
  <r>
    <x v="0"/>
    <x v="1"/>
    <x v="1"/>
    <x v="10"/>
    <x v="10"/>
    <x v="10"/>
    <x v="10"/>
    <x v="30"/>
    <x v="10"/>
    <x v="30"/>
    <x v="30"/>
    <x v="30"/>
    <x v="29"/>
    <x v="3"/>
  </r>
  <r>
    <x v="0"/>
    <x v="1"/>
    <x v="1"/>
    <x v="8"/>
    <x v="8"/>
    <x v="8"/>
    <x v="11"/>
    <x v="31"/>
    <x v="29"/>
    <x v="31"/>
    <x v="31"/>
    <x v="31"/>
    <x v="30"/>
    <x v="13"/>
  </r>
  <r>
    <x v="0"/>
    <x v="1"/>
    <x v="1"/>
    <x v="13"/>
    <x v="13"/>
    <x v="13"/>
    <x v="12"/>
    <x v="32"/>
    <x v="30"/>
    <x v="32"/>
    <x v="32"/>
    <x v="32"/>
    <x v="31"/>
    <x v="2"/>
  </r>
  <r>
    <x v="0"/>
    <x v="1"/>
    <x v="1"/>
    <x v="15"/>
    <x v="15"/>
    <x v="15"/>
    <x v="13"/>
    <x v="33"/>
    <x v="31"/>
    <x v="33"/>
    <x v="33"/>
    <x v="33"/>
    <x v="32"/>
    <x v="14"/>
  </r>
  <r>
    <x v="0"/>
    <x v="1"/>
    <x v="1"/>
    <x v="18"/>
    <x v="18"/>
    <x v="18"/>
    <x v="14"/>
    <x v="34"/>
    <x v="32"/>
    <x v="34"/>
    <x v="18"/>
    <x v="34"/>
    <x v="33"/>
    <x v="1"/>
  </r>
  <r>
    <x v="0"/>
    <x v="1"/>
    <x v="1"/>
    <x v="11"/>
    <x v="11"/>
    <x v="11"/>
    <x v="15"/>
    <x v="35"/>
    <x v="33"/>
    <x v="35"/>
    <x v="34"/>
    <x v="35"/>
    <x v="34"/>
    <x v="2"/>
  </r>
  <r>
    <x v="0"/>
    <x v="1"/>
    <x v="1"/>
    <x v="14"/>
    <x v="14"/>
    <x v="14"/>
    <x v="16"/>
    <x v="36"/>
    <x v="34"/>
    <x v="36"/>
    <x v="35"/>
    <x v="36"/>
    <x v="35"/>
    <x v="1"/>
  </r>
  <r>
    <x v="0"/>
    <x v="1"/>
    <x v="1"/>
    <x v="17"/>
    <x v="17"/>
    <x v="17"/>
    <x v="17"/>
    <x v="37"/>
    <x v="35"/>
    <x v="37"/>
    <x v="17"/>
    <x v="37"/>
    <x v="36"/>
    <x v="3"/>
  </r>
  <r>
    <x v="0"/>
    <x v="1"/>
    <x v="1"/>
    <x v="20"/>
    <x v="20"/>
    <x v="20"/>
    <x v="18"/>
    <x v="38"/>
    <x v="36"/>
    <x v="38"/>
    <x v="25"/>
    <x v="38"/>
    <x v="37"/>
    <x v="5"/>
  </r>
  <r>
    <x v="0"/>
    <x v="1"/>
    <x v="1"/>
    <x v="16"/>
    <x v="16"/>
    <x v="16"/>
    <x v="18"/>
    <x v="38"/>
    <x v="36"/>
    <x v="39"/>
    <x v="36"/>
    <x v="39"/>
    <x v="23"/>
    <x v="2"/>
  </r>
  <r>
    <x v="0"/>
    <x v="2"/>
    <x v="2"/>
    <x v="5"/>
    <x v="5"/>
    <x v="5"/>
    <x v="0"/>
    <x v="39"/>
    <x v="37"/>
    <x v="40"/>
    <x v="37"/>
    <x v="40"/>
    <x v="38"/>
    <x v="2"/>
  </r>
  <r>
    <x v="0"/>
    <x v="2"/>
    <x v="2"/>
    <x v="21"/>
    <x v="21"/>
    <x v="21"/>
    <x v="1"/>
    <x v="40"/>
    <x v="38"/>
    <x v="41"/>
    <x v="38"/>
    <x v="41"/>
    <x v="39"/>
    <x v="2"/>
  </r>
  <r>
    <x v="0"/>
    <x v="2"/>
    <x v="2"/>
    <x v="13"/>
    <x v="13"/>
    <x v="13"/>
    <x v="2"/>
    <x v="41"/>
    <x v="39"/>
    <x v="42"/>
    <x v="39"/>
    <x v="42"/>
    <x v="40"/>
    <x v="2"/>
  </r>
  <r>
    <x v="0"/>
    <x v="2"/>
    <x v="2"/>
    <x v="18"/>
    <x v="18"/>
    <x v="18"/>
    <x v="3"/>
    <x v="42"/>
    <x v="40"/>
    <x v="43"/>
    <x v="40"/>
    <x v="43"/>
    <x v="41"/>
    <x v="2"/>
  </r>
  <r>
    <x v="0"/>
    <x v="2"/>
    <x v="2"/>
    <x v="12"/>
    <x v="12"/>
    <x v="12"/>
    <x v="4"/>
    <x v="43"/>
    <x v="41"/>
    <x v="44"/>
    <x v="41"/>
    <x v="44"/>
    <x v="42"/>
    <x v="1"/>
  </r>
  <r>
    <x v="0"/>
    <x v="2"/>
    <x v="2"/>
    <x v="17"/>
    <x v="17"/>
    <x v="17"/>
    <x v="5"/>
    <x v="44"/>
    <x v="42"/>
    <x v="45"/>
    <x v="42"/>
    <x v="45"/>
    <x v="43"/>
    <x v="2"/>
  </r>
  <r>
    <x v="0"/>
    <x v="2"/>
    <x v="2"/>
    <x v="0"/>
    <x v="0"/>
    <x v="0"/>
    <x v="6"/>
    <x v="45"/>
    <x v="43"/>
    <x v="46"/>
    <x v="43"/>
    <x v="46"/>
    <x v="44"/>
    <x v="2"/>
  </r>
  <r>
    <x v="0"/>
    <x v="2"/>
    <x v="2"/>
    <x v="15"/>
    <x v="15"/>
    <x v="15"/>
    <x v="7"/>
    <x v="46"/>
    <x v="44"/>
    <x v="47"/>
    <x v="44"/>
    <x v="46"/>
    <x v="44"/>
    <x v="8"/>
  </r>
  <r>
    <x v="0"/>
    <x v="2"/>
    <x v="2"/>
    <x v="1"/>
    <x v="1"/>
    <x v="1"/>
    <x v="8"/>
    <x v="47"/>
    <x v="45"/>
    <x v="48"/>
    <x v="45"/>
    <x v="47"/>
    <x v="45"/>
    <x v="2"/>
  </r>
  <r>
    <x v="0"/>
    <x v="2"/>
    <x v="2"/>
    <x v="4"/>
    <x v="4"/>
    <x v="4"/>
    <x v="9"/>
    <x v="48"/>
    <x v="46"/>
    <x v="49"/>
    <x v="46"/>
    <x v="48"/>
    <x v="46"/>
    <x v="5"/>
  </r>
  <r>
    <x v="0"/>
    <x v="2"/>
    <x v="2"/>
    <x v="3"/>
    <x v="3"/>
    <x v="3"/>
    <x v="10"/>
    <x v="49"/>
    <x v="9"/>
    <x v="50"/>
    <x v="47"/>
    <x v="49"/>
    <x v="47"/>
    <x v="2"/>
  </r>
  <r>
    <x v="0"/>
    <x v="2"/>
    <x v="2"/>
    <x v="9"/>
    <x v="9"/>
    <x v="9"/>
    <x v="11"/>
    <x v="50"/>
    <x v="47"/>
    <x v="45"/>
    <x v="42"/>
    <x v="50"/>
    <x v="48"/>
    <x v="2"/>
  </r>
  <r>
    <x v="0"/>
    <x v="2"/>
    <x v="2"/>
    <x v="22"/>
    <x v="22"/>
    <x v="22"/>
    <x v="12"/>
    <x v="51"/>
    <x v="48"/>
    <x v="51"/>
    <x v="48"/>
    <x v="51"/>
    <x v="49"/>
    <x v="0"/>
  </r>
  <r>
    <x v="0"/>
    <x v="2"/>
    <x v="2"/>
    <x v="14"/>
    <x v="14"/>
    <x v="14"/>
    <x v="12"/>
    <x v="51"/>
    <x v="48"/>
    <x v="52"/>
    <x v="49"/>
    <x v="52"/>
    <x v="50"/>
    <x v="3"/>
  </r>
  <r>
    <x v="0"/>
    <x v="2"/>
    <x v="2"/>
    <x v="20"/>
    <x v="20"/>
    <x v="20"/>
    <x v="14"/>
    <x v="52"/>
    <x v="30"/>
    <x v="45"/>
    <x v="42"/>
    <x v="53"/>
    <x v="18"/>
    <x v="3"/>
  </r>
  <r>
    <x v="0"/>
    <x v="2"/>
    <x v="2"/>
    <x v="23"/>
    <x v="23"/>
    <x v="23"/>
    <x v="15"/>
    <x v="53"/>
    <x v="49"/>
    <x v="53"/>
    <x v="50"/>
    <x v="54"/>
    <x v="1"/>
    <x v="3"/>
  </r>
  <r>
    <x v="0"/>
    <x v="2"/>
    <x v="2"/>
    <x v="24"/>
    <x v="24"/>
    <x v="24"/>
    <x v="16"/>
    <x v="54"/>
    <x v="12"/>
    <x v="54"/>
    <x v="33"/>
    <x v="55"/>
    <x v="51"/>
    <x v="2"/>
  </r>
  <r>
    <x v="0"/>
    <x v="2"/>
    <x v="2"/>
    <x v="7"/>
    <x v="7"/>
    <x v="7"/>
    <x v="17"/>
    <x v="55"/>
    <x v="50"/>
    <x v="55"/>
    <x v="51"/>
    <x v="56"/>
    <x v="52"/>
    <x v="2"/>
  </r>
  <r>
    <x v="0"/>
    <x v="2"/>
    <x v="2"/>
    <x v="25"/>
    <x v="25"/>
    <x v="25"/>
    <x v="18"/>
    <x v="56"/>
    <x v="51"/>
    <x v="56"/>
    <x v="52"/>
    <x v="56"/>
    <x v="52"/>
    <x v="2"/>
  </r>
  <r>
    <x v="0"/>
    <x v="2"/>
    <x v="2"/>
    <x v="26"/>
    <x v="26"/>
    <x v="26"/>
    <x v="19"/>
    <x v="57"/>
    <x v="52"/>
    <x v="57"/>
    <x v="53"/>
    <x v="57"/>
    <x v="53"/>
    <x v="2"/>
  </r>
  <r>
    <x v="0"/>
    <x v="3"/>
    <x v="3"/>
    <x v="5"/>
    <x v="5"/>
    <x v="5"/>
    <x v="0"/>
    <x v="58"/>
    <x v="53"/>
    <x v="58"/>
    <x v="54"/>
    <x v="58"/>
    <x v="54"/>
    <x v="2"/>
  </r>
  <r>
    <x v="0"/>
    <x v="3"/>
    <x v="3"/>
    <x v="1"/>
    <x v="1"/>
    <x v="1"/>
    <x v="1"/>
    <x v="59"/>
    <x v="54"/>
    <x v="59"/>
    <x v="55"/>
    <x v="59"/>
    <x v="55"/>
    <x v="2"/>
  </r>
  <r>
    <x v="0"/>
    <x v="3"/>
    <x v="3"/>
    <x v="13"/>
    <x v="13"/>
    <x v="13"/>
    <x v="2"/>
    <x v="60"/>
    <x v="55"/>
    <x v="60"/>
    <x v="56"/>
    <x v="42"/>
    <x v="56"/>
    <x v="2"/>
  </r>
  <r>
    <x v="0"/>
    <x v="3"/>
    <x v="3"/>
    <x v="10"/>
    <x v="10"/>
    <x v="10"/>
    <x v="3"/>
    <x v="61"/>
    <x v="2"/>
    <x v="61"/>
    <x v="57"/>
    <x v="60"/>
    <x v="37"/>
    <x v="2"/>
  </r>
  <r>
    <x v="0"/>
    <x v="3"/>
    <x v="3"/>
    <x v="21"/>
    <x v="21"/>
    <x v="21"/>
    <x v="4"/>
    <x v="62"/>
    <x v="56"/>
    <x v="62"/>
    <x v="58"/>
    <x v="61"/>
    <x v="57"/>
    <x v="2"/>
  </r>
  <r>
    <x v="0"/>
    <x v="3"/>
    <x v="3"/>
    <x v="12"/>
    <x v="12"/>
    <x v="12"/>
    <x v="5"/>
    <x v="63"/>
    <x v="57"/>
    <x v="63"/>
    <x v="59"/>
    <x v="62"/>
    <x v="44"/>
    <x v="3"/>
  </r>
  <r>
    <x v="0"/>
    <x v="3"/>
    <x v="3"/>
    <x v="0"/>
    <x v="0"/>
    <x v="0"/>
    <x v="6"/>
    <x v="64"/>
    <x v="58"/>
    <x v="64"/>
    <x v="60"/>
    <x v="63"/>
    <x v="58"/>
    <x v="2"/>
  </r>
  <r>
    <x v="0"/>
    <x v="3"/>
    <x v="3"/>
    <x v="18"/>
    <x v="18"/>
    <x v="18"/>
    <x v="7"/>
    <x v="65"/>
    <x v="59"/>
    <x v="54"/>
    <x v="44"/>
    <x v="63"/>
    <x v="58"/>
    <x v="2"/>
  </r>
  <r>
    <x v="0"/>
    <x v="3"/>
    <x v="3"/>
    <x v="15"/>
    <x v="15"/>
    <x v="15"/>
    <x v="8"/>
    <x v="66"/>
    <x v="60"/>
    <x v="65"/>
    <x v="61"/>
    <x v="64"/>
    <x v="59"/>
    <x v="0"/>
  </r>
  <r>
    <x v="0"/>
    <x v="3"/>
    <x v="3"/>
    <x v="7"/>
    <x v="7"/>
    <x v="7"/>
    <x v="9"/>
    <x v="67"/>
    <x v="61"/>
    <x v="66"/>
    <x v="62"/>
    <x v="65"/>
    <x v="60"/>
    <x v="2"/>
  </r>
  <r>
    <x v="0"/>
    <x v="3"/>
    <x v="3"/>
    <x v="3"/>
    <x v="3"/>
    <x v="3"/>
    <x v="10"/>
    <x v="68"/>
    <x v="62"/>
    <x v="67"/>
    <x v="63"/>
    <x v="66"/>
    <x v="27"/>
    <x v="2"/>
  </r>
  <r>
    <x v="0"/>
    <x v="3"/>
    <x v="3"/>
    <x v="4"/>
    <x v="4"/>
    <x v="4"/>
    <x v="11"/>
    <x v="69"/>
    <x v="63"/>
    <x v="47"/>
    <x v="64"/>
    <x v="67"/>
    <x v="61"/>
    <x v="3"/>
  </r>
  <r>
    <x v="0"/>
    <x v="3"/>
    <x v="3"/>
    <x v="17"/>
    <x v="17"/>
    <x v="17"/>
    <x v="12"/>
    <x v="70"/>
    <x v="64"/>
    <x v="57"/>
    <x v="65"/>
    <x v="68"/>
    <x v="62"/>
    <x v="3"/>
  </r>
  <r>
    <x v="0"/>
    <x v="3"/>
    <x v="3"/>
    <x v="9"/>
    <x v="9"/>
    <x v="9"/>
    <x v="13"/>
    <x v="71"/>
    <x v="28"/>
    <x v="68"/>
    <x v="66"/>
    <x v="69"/>
    <x v="63"/>
    <x v="2"/>
  </r>
  <r>
    <x v="0"/>
    <x v="3"/>
    <x v="3"/>
    <x v="20"/>
    <x v="20"/>
    <x v="20"/>
    <x v="14"/>
    <x v="72"/>
    <x v="28"/>
    <x v="69"/>
    <x v="4"/>
    <x v="70"/>
    <x v="64"/>
    <x v="3"/>
  </r>
  <r>
    <x v="0"/>
    <x v="3"/>
    <x v="3"/>
    <x v="24"/>
    <x v="24"/>
    <x v="24"/>
    <x v="15"/>
    <x v="73"/>
    <x v="65"/>
    <x v="63"/>
    <x v="59"/>
    <x v="71"/>
    <x v="17"/>
    <x v="2"/>
  </r>
  <r>
    <x v="0"/>
    <x v="3"/>
    <x v="3"/>
    <x v="27"/>
    <x v="27"/>
    <x v="27"/>
    <x v="16"/>
    <x v="74"/>
    <x v="11"/>
    <x v="70"/>
    <x v="67"/>
    <x v="72"/>
    <x v="49"/>
    <x v="2"/>
  </r>
  <r>
    <x v="0"/>
    <x v="3"/>
    <x v="3"/>
    <x v="19"/>
    <x v="19"/>
    <x v="19"/>
    <x v="17"/>
    <x v="75"/>
    <x v="14"/>
    <x v="71"/>
    <x v="68"/>
    <x v="73"/>
    <x v="65"/>
    <x v="2"/>
  </r>
  <r>
    <x v="0"/>
    <x v="3"/>
    <x v="3"/>
    <x v="28"/>
    <x v="28"/>
    <x v="28"/>
    <x v="18"/>
    <x v="76"/>
    <x v="17"/>
    <x v="53"/>
    <x v="18"/>
    <x v="74"/>
    <x v="66"/>
    <x v="2"/>
  </r>
  <r>
    <x v="0"/>
    <x v="3"/>
    <x v="3"/>
    <x v="29"/>
    <x v="29"/>
    <x v="29"/>
    <x v="19"/>
    <x v="77"/>
    <x v="66"/>
    <x v="72"/>
    <x v="69"/>
    <x v="75"/>
    <x v="67"/>
    <x v="2"/>
  </r>
  <r>
    <x v="0"/>
    <x v="4"/>
    <x v="4"/>
    <x v="0"/>
    <x v="0"/>
    <x v="0"/>
    <x v="0"/>
    <x v="78"/>
    <x v="67"/>
    <x v="73"/>
    <x v="70"/>
    <x v="76"/>
    <x v="68"/>
    <x v="2"/>
  </r>
  <r>
    <x v="0"/>
    <x v="4"/>
    <x v="4"/>
    <x v="5"/>
    <x v="5"/>
    <x v="5"/>
    <x v="1"/>
    <x v="79"/>
    <x v="68"/>
    <x v="74"/>
    <x v="71"/>
    <x v="77"/>
    <x v="69"/>
    <x v="2"/>
  </r>
  <r>
    <x v="0"/>
    <x v="4"/>
    <x v="4"/>
    <x v="1"/>
    <x v="1"/>
    <x v="1"/>
    <x v="2"/>
    <x v="80"/>
    <x v="69"/>
    <x v="75"/>
    <x v="72"/>
    <x v="78"/>
    <x v="70"/>
    <x v="2"/>
  </r>
  <r>
    <x v="0"/>
    <x v="4"/>
    <x v="4"/>
    <x v="12"/>
    <x v="12"/>
    <x v="12"/>
    <x v="3"/>
    <x v="81"/>
    <x v="70"/>
    <x v="76"/>
    <x v="73"/>
    <x v="79"/>
    <x v="71"/>
    <x v="15"/>
  </r>
  <r>
    <x v="0"/>
    <x v="4"/>
    <x v="4"/>
    <x v="18"/>
    <x v="18"/>
    <x v="18"/>
    <x v="4"/>
    <x v="82"/>
    <x v="71"/>
    <x v="49"/>
    <x v="74"/>
    <x v="80"/>
    <x v="72"/>
    <x v="2"/>
  </r>
  <r>
    <x v="0"/>
    <x v="4"/>
    <x v="4"/>
    <x v="21"/>
    <x v="21"/>
    <x v="21"/>
    <x v="5"/>
    <x v="83"/>
    <x v="72"/>
    <x v="77"/>
    <x v="75"/>
    <x v="81"/>
    <x v="73"/>
    <x v="2"/>
  </r>
  <r>
    <x v="0"/>
    <x v="4"/>
    <x v="4"/>
    <x v="15"/>
    <x v="15"/>
    <x v="15"/>
    <x v="6"/>
    <x v="84"/>
    <x v="73"/>
    <x v="72"/>
    <x v="69"/>
    <x v="82"/>
    <x v="74"/>
    <x v="16"/>
  </r>
  <r>
    <x v="0"/>
    <x v="4"/>
    <x v="4"/>
    <x v="9"/>
    <x v="9"/>
    <x v="9"/>
    <x v="7"/>
    <x v="85"/>
    <x v="74"/>
    <x v="47"/>
    <x v="42"/>
    <x v="83"/>
    <x v="75"/>
    <x v="2"/>
  </r>
  <r>
    <x v="0"/>
    <x v="4"/>
    <x v="4"/>
    <x v="4"/>
    <x v="4"/>
    <x v="4"/>
    <x v="8"/>
    <x v="86"/>
    <x v="75"/>
    <x v="69"/>
    <x v="4"/>
    <x v="84"/>
    <x v="76"/>
    <x v="3"/>
  </r>
  <r>
    <x v="0"/>
    <x v="4"/>
    <x v="4"/>
    <x v="3"/>
    <x v="3"/>
    <x v="3"/>
    <x v="9"/>
    <x v="87"/>
    <x v="76"/>
    <x v="78"/>
    <x v="76"/>
    <x v="85"/>
    <x v="53"/>
    <x v="2"/>
  </r>
  <r>
    <x v="0"/>
    <x v="4"/>
    <x v="4"/>
    <x v="17"/>
    <x v="17"/>
    <x v="17"/>
    <x v="10"/>
    <x v="88"/>
    <x v="77"/>
    <x v="56"/>
    <x v="52"/>
    <x v="86"/>
    <x v="26"/>
    <x v="2"/>
  </r>
  <r>
    <x v="0"/>
    <x v="4"/>
    <x v="4"/>
    <x v="13"/>
    <x v="13"/>
    <x v="13"/>
    <x v="11"/>
    <x v="89"/>
    <x v="78"/>
    <x v="79"/>
    <x v="77"/>
    <x v="87"/>
    <x v="73"/>
    <x v="2"/>
  </r>
  <r>
    <x v="0"/>
    <x v="4"/>
    <x v="4"/>
    <x v="10"/>
    <x v="10"/>
    <x v="10"/>
    <x v="12"/>
    <x v="90"/>
    <x v="63"/>
    <x v="80"/>
    <x v="78"/>
    <x v="49"/>
    <x v="77"/>
    <x v="2"/>
  </r>
  <r>
    <x v="0"/>
    <x v="4"/>
    <x v="4"/>
    <x v="7"/>
    <x v="7"/>
    <x v="7"/>
    <x v="13"/>
    <x v="91"/>
    <x v="79"/>
    <x v="81"/>
    <x v="79"/>
    <x v="88"/>
    <x v="78"/>
    <x v="2"/>
  </r>
  <r>
    <x v="0"/>
    <x v="4"/>
    <x v="4"/>
    <x v="2"/>
    <x v="2"/>
    <x v="2"/>
    <x v="14"/>
    <x v="92"/>
    <x v="80"/>
    <x v="82"/>
    <x v="80"/>
    <x v="89"/>
    <x v="79"/>
    <x v="2"/>
  </r>
  <r>
    <x v="0"/>
    <x v="4"/>
    <x v="4"/>
    <x v="14"/>
    <x v="14"/>
    <x v="14"/>
    <x v="15"/>
    <x v="93"/>
    <x v="13"/>
    <x v="52"/>
    <x v="81"/>
    <x v="71"/>
    <x v="80"/>
    <x v="2"/>
  </r>
  <r>
    <x v="0"/>
    <x v="4"/>
    <x v="4"/>
    <x v="19"/>
    <x v="19"/>
    <x v="19"/>
    <x v="15"/>
    <x v="93"/>
    <x v="13"/>
    <x v="83"/>
    <x v="82"/>
    <x v="90"/>
    <x v="81"/>
    <x v="3"/>
  </r>
  <r>
    <x v="0"/>
    <x v="4"/>
    <x v="4"/>
    <x v="30"/>
    <x v="30"/>
    <x v="30"/>
    <x v="17"/>
    <x v="94"/>
    <x v="35"/>
    <x v="46"/>
    <x v="83"/>
    <x v="91"/>
    <x v="82"/>
    <x v="2"/>
  </r>
  <r>
    <x v="0"/>
    <x v="4"/>
    <x v="4"/>
    <x v="25"/>
    <x v="25"/>
    <x v="25"/>
    <x v="18"/>
    <x v="95"/>
    <x v="81"/>
    <x v="68"/>
    <x v="66"/>
    <x v="92"/>
    <x v="83"/>
    <x v="2"/>
  </r>
  <r>
    <x v="0"/>
    <x v="4"/>
    <x v="4"/>
    <x v="6"/>
    <x v="6"/>
    <x v="6"/>
    <x v="19"/>
    <x v="73"/>
    <x v="14"/>
    <x v="84"/>
    <x v="84"/>
    <x v="93"/>
    <x v="84"/>
    <x v="2"/>
  </r>
  <r>
    <x v="0"/>
    <x v="5"/>
    <x v="5"/>
    <x v="0"/>
    <x v="0"/>
    <x v="0"/>
    <x v="0"/>
    <x v="96"/>
    <x v="82"/>
    <x v="85"/>
    <x v="85"/>
    <x v="79"/>
    <x v="85"/>
    <x v="2"/>
  </r>
  <r>
    <x v="0"/>
    <x v="5"/>
    <x v="5"/>
    <x v="1"/>
    <x v="1"/>
    <x v="1"/>
    <x v="1"/>
    <x v="97"/>
    <x v="83"/>
    <x v="86"/>
    <x v="86"/>
    <x v="94"/>
    <x v="86"/>
    <x v="3"/>
  </r>
  <r>
    <x v="0"/>
    <x v="5"/>
    <x v="5"/>
    <x v="10"/>
    <x v="10"/>
    <x v="10"/>
    <x v="2"/>
    <x v="98"/>
    <x v="84"/>
    <x v="87"/>
    <x v="87"/>
    <x v="95"/>
    <x v="87"/>
    <x v="2"/>
  </r>
  <r>
    <x v="0"/>
    <x v="5"/>
    <x v="5"/>
    <x v="5"/>
    <x v="5"/>
    <x v="5"/>
    <x v="3"/>
    <x v="99"/>
    <x v="85"/>
    <x v="88"/>
    <x v="88"/>
    <x v="78"/>
    <x v="88"/>
    <x v="2"/>
  </r>
  <r>
    <x v="0"/>
    <x v="5"/>
    <x v="5"/>
    <x v="3"/>
    <x v="3"/>
    <x v="3"/>
    <x v="4"/>
    <x v="100"/>
    <x v="86"/>
    <x v="89"/>
    <x v="3"/>
    <x v="96"/>
    <x v="45"/>
    <x v="2"/>
  </r>
  <r>
    <x v="0"/>
    <x v="5"/>
    <x v="5"/>
    <x v="13"/>
    <x v="13"/>
    <x v="13"/>
    <x v="5"/>
    <x v="101"/>
    <x v="87"/>
    <x v="90"/>
    <x v="89"/>
    <x v="97"/>
    <x v="89"/>
    <x v="2"/>
  </r>
  <r>
    <x v="0"/>
    <x v="5"/>
    <x v="5"/>
    <x v="4"/>
    <x v="4"/>
    <x v="4"/>
    <x v="6"/>
    <x v="102"/>
    <x v="43"/>
    <x v="52"/>
    <x v="59"/>
    <x v="98"/>
    <x v="90"/>
    <x v="1"/>
  </r>
  <r>
    <x v="0"/>
    <x v="5"/>
    <x v="5"/>
    <x v="9"/>
    <x v="9"/>
    <x v="9"/>
    <x v="7"/>
    <x v="103"/>
    <x v="88"/>
    <x v="63"/>
    <x v="90"/>
    <x v="99"/>
    <x v="91"/>
    <x v="2"/>
  </r>
  <r>
    <x v="0"/>
    <x v="5"/>
    <x v="5"/>
    <x v="14"/>
    <x v="14"/>
    <x v="14"/>
    <x v="8"/>
    <x v="47"/>
    <x v="89"/>
    <x v="91"/>
    <x v="91"/>
    <x v="100"/>
    <x v="92"/>
    <x v="2"/>
  </r>
  <r>
    <x v="0"/>
    <x v="5"/>
    <x v="5"/>
    <x v="12"/>
    <x v="12"/>
    <x v="12"/>
    <x v="9"/>
    <x v="104"/>
    <x v="90"/>
    <x v="51"/>
    <x v="42"/>
    <x v="101"/>
    <x v="93"/>
    <x v="3"/>
  </r>
  <r>
    <x v="0"/>
    <x v="5"/>
    <x v="5"/>
    <x v="21"/>
    <x v="21"/>
    <x v="21"/>
    <x v="10"/>
    <x v="105"/>
    <x v="91"/>
    <x v="92"/>
    <x v="92"/>
    <x v="102"/>
    <x v="31"/>
    <x v="2"/>
  </r>
  <r>
    <x v="0"/>
    <x v="5"/>
    <x v="5"/>
    <x v="17"/>
    <x v="17"/>
    <x v="17"/>
    <x v="11"/>
    <x v="106"/>
    <x v="78"/>
    <x v="54"/>
    <x v="93"/>
    <x v="103"/>
    <x v="94"/>
    <x v="2"/>
  </r>
  <r>
    <x v="0"/>
    <x v="5"/>
    <x v="5"/>
    <x v="6"/>
    <x v="6"/>
    <x v="6"/>
    <x v="12"/>
    <x v="107"/>
    <x v="7"/>
    <x v="93"/>
    <x v="94"/>
    <x v="104"/>
    <x v="95"/>
    <x v="2"/>
  </r>
  <r>
    <x v="0"/>
    <x v="5"/>
    <x v="5"/>
    <x v="18"/>
    <x v="18"/>
    <x v="18"/>
    <x v="13"/>
    <x v="108"/>
    <x v="92"/>
    <x v="68"/>
    <x v="53"/>
    <x v="105"/>
    <x v="96"/>
    <x v="2"/>
  </r>
  <r>
    <x v="0"/>
    <x v="5"/>
    <x v="5"/>
    <x v="15"/>
    <x v="15"/>
    <x v="15"/>
    <x v="14"/>
    <x v="109"/>
    <x v="93"/>
    <x v="94"/>
    <x v="95"/>
    <x v="70"/>
    <x v="97"/>
    <x v="15"/>
  </r>
  <r>
    <x v="0"/>
    <x v="5"/>
    <x v="5"/>
    <x v="2"/>
    <x v="2"/>
    <x v="2"/>
    <x v="15"/>
    <x v="110"/>
    <x v="94"/>
    <x v="95"/>
    <x v="96"/>
    <x v="106"/>
    <x v="98"/>
    <x v="2"/>
  </r>
  <r>
    <x v="0"/>
    <x v="5"/>
    <x v="5"/>
    <x v="7"/>
    <x v="7"/>
    <x v="7"/>
    <x v="16"/>
    <x v="74"/>
    <x v="95"/>
    <x v="96"/>
    <x v="97"/>
    <x v="107"/>
    <x v="99"/>
    <x v="2"/>
  </r>
  <r>
    <x v="0"/>
    <x v="5"/>
    <x v="5"/>
    <x v="8"/>
    <x v="8"/>
    <x v="8"/>
    <x v="17"/>
    <x v="111"/>
    <x v="80"/>
    <x v="97"/>
    <x v="98"/>
    <x v="108"/>
    <x v="100"/>
    <x v="3"/>
  </r>
  <r>
    <x v="0"/>
    <x v="5"/>
    <x v="5"/>
    <x v="24"/>
    <x v="24"/>
    <x v="24"/>
    <x v="18"/>
    <x v="112"/>
    <x v="96"/>
    <x v="94"/>
    <x v="95"/>
    <x v="109"/>
    <x v="101"/>
    <x v="2"/>
  </r>
  <r>
    <x v="0"/>
    <x v="5"/>
    <x v="5"/>
    <x v="30"/>
    <x v="30"/>
    <x v="30"/>
    <x v="19"/>
    <x v="54"/>
    <x v="66"/>
    <x v="98"/>
    <x v="61"/>
    <x v="110"/>
    <x v="102"/>
    <x v="3"/>
  </r>
  <r>
    <x v="0"/>
    <x v="6"/>
    <x v="6"/>
    <x v="0"/>
    <x v="0"/>
    <x v="0"/>
    <x v="0"/>
    <x v="113"/>
    <x v="97"/>
    <x v="99"/>
    <x v="99"/>
    <x v="111"/>
    <x v="103"/>
    <x v="2"/>
  </r>
  <r>
    <x v="0"/>
    <x v="6"/>
    <x v="6"/>
    <x v="1"/>
    <x v="1"/>
    <x v="1"/>
    <x v="1"/>
    <x v="114"/>
    <x v="98"/>
    <x v="100"/>
    <x v="100"/>
    <x v="112"/>
    <x v="104"/>
    <x v="2"/>
  </r>
  <r>
    <x v="0"/>
    <x v="6"/>
    <x v="6"/>
    <x v="5"/>
    <x v="5"/>
    <x v="5"/>
    <x v="2"/>
    <x v="72"/>
    <x v="40"/>
    <x v="101"/>
    <x v="101"/>
    <x v="113"/>
    <x v="105"/>
    <x v="2"/>
  </r>
  <r>
    <x v="0"/>
    <x v="6"/>
    <x v="6"/>
    <x v="4"/>
    <x v="4"/>
    <x v="4"/>
    <x v="3"/>
    <x v="112"/>
    <x v="99"/>
    <x v="94"/>
    <x v="102"/>
    <x v="109"/>
    <x v="106"/>
    <x v="2"/>
  </r>
  <r>
    <x v="0"/>
    <x v="6"/>
    <x v="6"/>
    <x v="24"/>
    <x v="24"/>
    <x v="24"/>
    <x v="4"/>
    <x v="115"/>
    <x v="100"/>
    <x v="64"/>
    <x v="103"/>
    <x v="85"/>
    <x v="107"/>
    <x v="2"/>
  </r>
  <r>
    <x v="0"/>
    <x v="6"/>
    <x v="6"/>
    <x v="12"/>
    <x v="12"/>
    <x v="12"/>
    <x v="5"/>
    <x v="116"/>
    <x v="101"/>
    <x v="51"/>
    <x v="67"/>
    <x v="114"/>
    <x v="108"/>
    <x v="2"/>
  </r>
  <r>
    <x v="0"/>
    <x v="6"/>
    <x v="6"/>
    <x v="13"/>
    <x v="13"/>
    <x v="13"/>
    <x v="6"/>
    <x v="117"/>
    <x v="25"/>
    <x v="84"/>
    <x v="104"/>
    <x v="115"/>
    <x v="13"/>
    <x v="2"/>
  </r>
  <r>
    <x v="0"/>
    <x v="6"/>
    <x v="6"/>
    <x v="3"/>
    <x v="3"/>
    <x v="3"/>
    <x v="7"/>
    <x v="118"/>
    <x v="102"/>
    <x v="66"/>
    <x v="105"/>
    <x v="116"/>
    <x v="84"/>
    <x v="2"/>
  </r>
  <r>
    <x v="0"/>
    <x v="6"/>
    <x v="6"/>
    <x v="8"/>
    <x v="8"/>
    <x v="8"/>
    <x v="7"/>
    <x v="118"/>
    <x v="102"/>
    <x v="102"/>
    <x v="106"/>
    <x v="41"/>
    <x v="98"/>
    <x v="5"/>
  </r>
  <r>
    <x v="0"/>
    <x v="6"/>
    <x v="6"/>
    <x v="18"/>
    <x v="18"/>
    <x v="18"/>
    <x v="9"/>
    <x v="119"/>
    <x v="103"/>
    <x v="47"/>
    <x v="15"/>
    <x v="49"/>
    <x v="109"/>
    <x v="2"/>
  </r>
  <r>
    <x v="0"/>
    <x v="6"/>
    <x v="6"/>
    <x v="7"/>
    <x v="7"/>
    <x v="7"/>
    <x v="10"/>
    <x v="120"/>
    <x v="47"/>
    <x v="103"/>
    <x v="98"/>
    <x v="117"/>
    <x v="110"/>
    <x v="2"/>
  </r>
  <r>
    <x v="0"/>
    <x v="6"/>
    <x v="6"/>
    <x v="14"/>
    <x v="14"/>
    <x v="14"/>
    <x v="11"/>
    <x v="121"/>
    <x v="104"/>
    <x v="104"/>
    <x v="107"/>
    <x v="118"/>
    <x v="64"/>
    <x v="2"/>
  </r>
  <r>
    <x v="0"/>
    <x v="6"/>
    <x v="6"/>
    <x v="9"/>
    <x v="9"/>
    <x v="9"/>
    <x v="12"/>
    <x v="122"/>
    <x v="93"/>
    <x v="94"/>
    <x v="102"/>
    <x v="119"/>
    <x v="97"/>
    <x v="2"/>
  </r>
  <r>
    <x v="0"/>
    <x v="6"/>
    <x v="6"/>
    <x v="2"/>
    <x v="2"/>
    <x v="2"/>
    <x v="13"/>
    <x v="123"/>
    <x v="105"/>
    <x v="105"/>
    <x v="108"/>
    <x v="120"/>
    <x v="111"/>
    <x v="2"/>
  </r>
  <r>
    <x v="0"/>
    <x v="6"/>
    <x v="6"/>
    <x v="6"/>
    <x v="6"/>
    <x v="6"/>
    <x v="14"/>
    <x v="124"/>
    <x v="65"/>
    <x v="106"/>
    <x v="109"/>
    <x v="121"/>
    <x v="112"/>
    <x v="2"/>
  </r>
  <r>
    <x v="0"/>
    <x v="6"/>
    <x v="6"/>
    <x v="10"/>
    <x v="10"/>
    <x v="10"/>
    <x v="15"/>
    <x v="125"/>
    <x v="106"/>
    <x v="96"/>
    <x v="110"/>
    <x v="122"/>
    <x v="10"/>
    <x v="2"/>
  </r>
  <r>
    <x v="0"/>
    <x v="6"/>
    <x v="6"/>
    <x v="22"/>
    <x v="22"/>
    <x v="22"/>
    <x v="16"/>
    <x v="126"/>
    <x v="79"/>
    <x v="53"/>
    <x v="111"/>
    <x v="119"/>
    <x v="97"/>
    <x v="2"/>
  </r>
  <r>
    <x v="0"/>
    <x v="6"/>
    <x v="6"/>
    <x v="20"/>
    <x v="20"/>
    <x v="20"/>
    <x v="17"/>
    <x v="127"/>
    <x v="107"/>
    <x v="43"/>
    <x v="112"/>
    <x v="112"/>
    <x v="104"/>
    <x v="2"/>
  </r>
  <r>
    <x v="0"/>
    <x v="6"/>
    <x v="6"/>
    <x v="19"/>
    <x v="19"/>
    <x v="19"/>
    <x v="18"/>
    <x v="128"/>
    <x v="95"/>
    <x v="107"/>
    <x v="113"/>
    <x v="123"/>
    <x v="113"/>
    <x v="2"/>
  </r>
  <r>
    <x v="0"/>
    <x v="6"/>
    <x v="6"/>
    <x v="15"/>
    <x v="15"/>
    <x v="15"/>
    <x v="19"/>
    <x v="129"/>
    <x v="108"/>
    <x v="54"/>
    <x v="29"/>
    <x v="124"/>
    <x v="17"/>
    <x v="8"/>
  </r>
  <r>
    <x v="0"/>
    <x v="7"/>
    <x v="7"/>
    <x v="0"/>
    <x v="0"/>
    <x v="0"/>
    <x v="0"/>
    <x v="130"/>
    <x v="109"/>
    <x v="108"/>
    <x v="114"/>
    <x v="99"/>
    <x v="114"/>
    <x v="2"/>
  </r>
  <r>
    <x v="0"/>
    <x v="7"/>
    <x v="7"/>
    <x v="20"/>
    <x v="20"/>
    <x v="20"/>
    <x v="1"/>
    <x v="131"/>
    <x v="110"/>
    <x v="109"/>
    <x v="115"/>
    <x v="125"/>
    <x v="115"/>
    <x v="2"/>
  </r>
  <r>
    <x v="0"/>
    <x v="7"/>
    <x v="7"/>
    <x v="1"/>
    <x v="1"/>
    <x v="1"/>
    <x v="2"/>
    <x v="132"/>
    <x v="111"/>
    <x v="110"/>
    <x v="116"/>
    <x v="85"/>
    <x v="116"/>
    <x v="2"/>
  </r>
  <r>
    <x v="0"/>
    <x v="7"/>
    <x v="7"/>
    <x v="5"/>
    <x v="5"/>
    <x v="5"/>
    <x v="3"/>
    <x v="133"/>
    <x v="41"/>
    <x v="111"/>
    <x v="117"/>
    <x v="126"/>
    <x v="25"/>
    <x v="2"/>
  </r>
  <r>
    <x v="0"/>
    <x v="7"/>
    <x v="7"/>
    <x v="7"/>
    <x v="7"/>
    <x v="7"/>
    <x v="4"/>
    <x v="134"/>
    <x v="112"/>
    <x v="112"/>
    <x v="118"/>
    <x v="127"/>
    <x v="117"/>
    <x v="2"/>
  </r>
  <r>
    <x v="0"/>
    <x v="7"/>
    <x v="7"/>
    <x v="3"/>
    <x v="3"/>
    <x v="3"/>
    <x v="5"/>
    <x v="135"/>
    <x v="45"/>
    <x v="89"/>
    <x v="119"/>
    <x v="104"/>
    <x v="118"/>
    <x v="2"/>
  </r>
  <r>
    <x v="0"/>
    <x v="7"/>
    <x v="7"/>
    <x v="31"/>
    <x v="31"/>
    <x v="31"/>
    <x v="6"/>
    <x v="109"/>
    <x v="25"/>
    <x v="52"/>
    <x v="120"/>
    <x v="128"/>
    <x v="119"/>
    <x v="3"/>
  </r>
  <r>
    <x v="0"/>
    <x v="7"/>
    <x v="7"/>
    <x v="24"/>
    <x v="24"/>
    <x v="24"/>
    <x v="7"/>
    <x v="136"/>
    <x v="113"/>
    <x v="113"/>
    <x v="121"/>
    <x v="129"/>
    <x v="120"/>
    <x v="2"/>
  </r>
  <r>
    <x v="0"/>
    <x v="7"/>
    <x v="7"/>
    <x v="10"/>
    <x v="10"/>
    <x v="10"/>
    <x v="8"/>
    <x v="137"/>
    <x v="114"/>
    <x v="114"/>
    <x v="122"/>
    <x v="97"/>
    <x v="121"/>
    <x v="3"/>
  </r>
  <r>
    <x v="0"/>
    <x v="7"/>
    <x v="7"/>
    <x v="13"/>
    <x v="13"/>
    <x v="13"/>
    <x v="9"/>
    <x v="138"/>
    <x v="115"/>
    <x v="115"/>
    <x v="123"/>
    <x v="130"/>
    <x v="122"/>
    <x v="2"/>
  </r>
  <r>
    <x v="0"/>
    <x v="7"/>
    <x v="7"/>
    <x v="32"/>
    <x v="32"/>
    <x v="32"/>
    <x v="10"/>
    <x v="139"/>
    <x v="29"/>
    <x v="116"/>
    <x v="124"/>
    <x v="49"/>
    <x v="82"/>
    <x v="3"/>
  </r>
  <r>
    <x v="0"/>
    <x v="7"/>
    <x v="7"/>
    <x v="4"/>
    <x v="4"/>
    <x v="4"/>
    <x v="11"/>
    <x v="115"/>
    <x v="79"/>
    <x v="51"/>
    <x v="125"/>
    <x v="88"/>
    <x v="123"/>
    <x v="3"/>
  </r>
  <r>
    <x v="0"/>
    <x v="7"/>
    <x v="7"/>
    <x v="17"/>
    <x v="17"/>
    <x v="17"/>
    <x v="12"/>
    <x v="140"/>
    <x v="96"/>
    <x v="53"/>
    <x v="126"/>
    <x v="131"/>
    <x v="36"/>
    <x v="2"/>
  </r>
  <r>
    <x v="0"/>
    <x v="7"/>
    <x v="7"/>
    <x v="16"/>
    <x v="16"/>
    <x v="16"/>
    <x v="13"/>
    <x v="55"/>
    <x v="35"/>
    <x v="117"/>
    <x v="127"/>
    <x v="132"/>
    <x v="124"/>
    <x v="2"/>
  </r>
  <r>
    <x v="0"/>
    <x v="7"/>
    <x v="7"/>
    <x v="9"/>
    <x v="9"/>
    <x v="9"/>
    <x v="14"/>
    <x v="77"/>
    <x v="81"/>
    <x v="44"/>
    <x v="40"/>
    <x v="133"/>
    <x v="37"/>
    <x v="2"/>
  </r>
  <r>
    <x v="0"/>
    <x v="7"/>
    <x v="7"/>
    <x v="33"/>
    <x v="33"/>
    <x v="33"/>
    <x v="15"/>
    <x v="141"/>
    <x v="14"/>
    <x v="118"/>
    <x v="128"/>
    <x v="134"/>
    <x v="125"/>
    <x v="2"/>
  </r>
  <r>
    <x v="0"/>
    <x v="7"/>
    <x v="7"/>
    <x v="34"/>
    <x v="34"/>
    <x v="34"/>
    <x v="16"/>
    <x v="142"/>
    <x v="50"/>
    <x v="119"/>
    <x v="129"/>
    <x v="135"/>
    <x v="29"/>
    <x v="2"/>
  </r>
  <r>
    <x v="0"/>
    <x v="7"/>
    <x v="7"/>
    <x v="6"/>
    <x v="6"/>
    <x v="6"/>
    <x v="17"/>
    <x v="143"/>
    <x v="116"/>
    <x v="120"/>
    <x v="130"/>
    <x v="81"/>
    <x v="40"/>
    <x v="2"/>
  </r>
  <r>
    <x v="0"/>
    <x v="7"/>
    <x v="7"/>
    <x v="2"/>
    <x v="2"/>
    <x v="2"/>
    <x v="18"/>
    <x v="144"/>
    <x v="117"/>
    <x v="121"/>
    <x v="131"/>
    <x v="120"/>
    <x v="126"/>
    <x v="2"/>
  </r>
  <r>
    <x v="0"/>
    <x v="7"/>
    <x v="7"/>
    <x v="15"/>
    <x v="15"/>
    <x v="15"/>
    <x v="19"/>
    <x v="145"/>
    <x v="118"/>
    <x v="63"/>
    <x v="132"/>
    <x v="49"/>
    <x v="82"/>
    <x v="3"/>
  </r>
  <r>
    <x v="0"/>
    <x v="8"/>
    <x v="8"/>
    <x v="0"/>
    <x v="0"/>
    <x v="0"/>
    <x v="0"/>
    <x v="100"/>
    <x v="119"/>
    <x v="122"/>
    <x v="133"/>
    <x v="136"/>
    <x v="127"/>
    <x v="5"/>
  </r>
  <r>
    <x v="0"/>
    <x v="8"/>
    <x v="8"/>
    <x v="1"/>
    <x v="1"/>
    <x v="1"/>
    <x v="1"/>
    <x v="146"/>
    <x v="120"/>
    <x v="123"/>
    <x v="134"/>
    <x v="137"/>
    <x v="128"/>
    <x v="2"/>
  </r>
  <r>
    <x v="0"/>
    <x v="8"/>
    <x v="8"/>
    <x v="3"/>
    <x v="3"/>
    <x v="3"/>
    <x v="2"/>
    <x v="147"/>
    <x v="121"/>
    <x v="78"/>
    <x v="135"/>
    <x v="138"/>
    <x v="129"/>
    <x v="2"/>
  </r>
  <r>
    <x v="0"/>
    <x v="8"/>
    <x v="8"/>
    <x v="2"/>
    <x v="2"/>
    <x v="2"/>
    <x v="3"/>
    <x v="54"/>
    <x v="77"/>
    <x v="124"/>
    <x v="105"/>
    <x v="139"/>
    <x v="130"/>
    <x v="2"/>
  </r>
  <r>
    <x v="0"/>
    <x v="8"/>
    <x v="8"/>
    <x v="24"/>
    <x v="24"/>
    <x v="24"/>
    <x v="4"/>
    <x v="140"/>
    <x v="91"/>
    <x v="125"/>
    <x v="136"/>
    <x v="140"/>
    <x v="26"/>
    <x v="2"/>
  </r>
  <r>
    <x v="0"/>
    <x v="8"/>
    <x v="8"/>
    <x v="20"/>
    <x v="20"/>
    <x v="20"/>
    <x v="5"/>
    <x v="148"/>
    <x v="122"/>
    <x v="49"/>
    <x v="74"/>
    <x v="141"/>
    <x v="94"/>
    <x v="2"/>
  </r>
  <r>
    <x v="0"/>
    <x v="8"/>
    <x v="8"/>
    <x v="6"/>
    <x v="6"/>
    <x v="6"/>
    <x v="6"/>
    <x v="149"/>
    <x v="123"/>
    <x v="126"/>
    <x v="108"/>
    <x v="142"/>
    <x v="111"/>
    <x v="2"/>
  </r>
  <r>
    <x v="0"/>
    <x v="8"/>
    <x v="8"/>
    <x v="5"/>
    <x v="5"/>
    <x v="5"/>
    <x v="7"/>
    <x v="150"/>
    <x v="10"/>
    <x v="127"/>
    <x v="137"/>
    <x v="143"/>
    <x v="131"/>
    <x v="2"/>
  </r>
  <r>
    <x v="0"/>
    <x v="8"/>
    <x v="8"/>
    <x v="35"/>
    <x v="35"/>
    <x v="35"/>
    <x v="8"/>
    <x v="151"/>
    <x v="65"/>
    <x v="128"/>
    <x v="138"/>
    <x v="144"/>
    <x v="132"/>
    <x v="2"/>
  </r>
  <r>
    <x v="0"/>
    <x v="8"/>
    <x v="8"/>
    <x v="4"/>
    <x v="4"/>
    <x v="4"/>
    <x v="9"/>
    <x v="152"/>
    <x v="11"/>
    <x v="69"/>
    <x v="29"/>
    <x v="145"/>
    <x v="133"/>
    <x v="3"/>
  </r>
  <r>
    <x v="0"/>
    <x v="8"/>
    <x v="8"/>
    <x v="11"/>
    <x v="11"/>
    <x v="11"/>
    <x v="10"/>
    <x v="120"/>
    <x v="124"/>
    <x v="129"/>
    <x v="139"/>
    <x v="130"/>
    <x v="13"/>
    <x v="2"/>
  </r>
  <r>
    <x v="0"/>
    <x v="8"/>
    <x v="8"/>
    <x v="7"/>
    <x v="7"/>
    <x v="7"/>
    <x v="11"/>
    <x v="121"/>
    <x v="125"/>
    <x v="81"/>
    <x v="140"/>
    <x v="146"/>
    <x v="134"/>
    <x v="2"/>
  </r>
  <r>
    <x v="0"/>
    <x v="8"/>
    <x v="8"/>
    <x v="10"/>
    <x v="10"/>
    <x v="10"/>
    <x v="12"/>
    <x v="124"/>
    <x v="81"/>
    <x v="130"/>
    <x v="141"/>
    <x v="147"/>
    <x v="39"/>
    <x v="2"/>
  </r>
  <r>
    <x v="0"/>
    <x v="8"/>
    <x v="8"/>
    <x v="9"/>
    <x v="9"/>
    <x v="9"/>
    <x v="13"/>
    <x v="125"/>
    <x v="17"/>
    <x v="64"/>
    <x v="112"/>
    <x v="148"/>
    <x v="135"/>
    <x v="2"/>
  </r>
  <r>
    <x v="0"/>
    <x v="8"/>
    <x v="8"/>
    <x v="16"/>
    <x v="16"/>
    <x v="16"/>
    <x v="14"/>
    <x v="128"/>
    <x v="126"/>
    <x v="131"/>
    <x v="36"/>
    <x v="139"/>
    <x v="130"/>
    <x v="2"/>
  </r>
  <r>
    <x v="0"/>
    <x v="8"/>
    <x v="8"/>
    <x v="8"/>
    <x v="8"/>
    <x v="8"/>
    <x v="15"/>
    <x v="153"/>
    <x v="127"/>
    <x v="131"/>
    <x v="36"/>
    <x v="138"/>
    <x v="129"/>
    <x v="3"/>
  </r>
  <r>
    <x v="0"/>
    <x v="8"/>
    <x v="8"/>
    <x v="34"/>
    <x v="34"/>
    <x v="34"/>
    <x v="16"/>
    <x v="154"/>
    <x v="128"/>
    <x v="132"/>
    <x v="142"/>
    <x v="149"/>
    <x v="136"/>
    <x v="2"/>
  </r>
  <r>
    <x v="0"/>
    <x v="8"/>
    <x v="8"/>
    <x v="36"/>
    <x v="36"/>
    <x v="36"/>
    <x v="17"/>
    <x v="155"/>
    <x v="129"/>
    <x v="64"/>
    <x v="112"/>
    <x v="106"/>
    <x v="137"/>
    <x v="2"/>
  </r>
  <r>
    <x v="0"/>
    <x v="8"/>
    <x v="8"/>
    <x v="19"/>
    <x v="19"/>
    <x v="19"/>
    <x v="18"/>
    <x v="156"/>
    <x v="130"/>
    <x v="133"/>
    <x v="143"/>
    <x v="150"/>
    <x v="122"/>
    <x v="3"/>
  </r>
  <r>
    <x v="0"/>
    <x v="8"/>
    <x v="8"/>
    <x v="37"/>
    <x v="37"/>
    <x v="37"/>
    <x v="19"/>
    <x v="157"/>
    <x v="52"/>
    <x v="70"/>
    <x v="25"/>
    <x v="137"/>
    <x v="128"/>
    <x v="2"/>
  </r>
  <r>
    <x v="0"/>
    <x v="9"/>
    <x v="9"/>
    <x v="0"/>
    <x v="0"/>
    <x v="0"/>
    <x v="0"/>
    <x v="133"/>
    <x v="131"/>
    <x v="117"/>
    <x v="144"/>
    <x v="151"/>
    <x v="138"/>
    <x v="2"/>
  </r>
  <r>
    <x v="0"/>
    <x v="9"/>
    <x v="9"/>
    <x v="1"/>
    <x v="1"/>
    <x v="1"/>
    <x v="1"/>
    <x v="158"/>
    <x v="132"/>
    <x v="134"/>
    <x v="92"/>
    <x v="119"/>
    <x v="139"/>
    <x v="2"/>
  </r>
  <r>
    <x v="0"/>
    <x v="9"/>
    <x v="9"/>
    <x v="3"/>
    <x v="3"/>
    <x v="3"/>
    <x v="2"/>
    <x v="159"/>
    <x v="133"/>
    <x v="115"/>
    <x v="145"/>
    <x v="152"/>
    <x v="16"/>
    <x v="2"/>
  </r>
  <r>
    <x v="0"/>
    <x v="9"/>
    <x v="9"/>
    <x v="24"/>
    <x v="24"/>
    <x v="24"/>
    <x v="3"/>
    <x v="160"/>
    <x v="134"/>
    <x v="127"/>
    <x v="146"/>
    <x v="53"/>
    <x v="140"/>
    <x v="2"/>
  </r>
  <r>
    <x v="0"/>
    <x v="9"/>
    <x v="9"/>
    <x v="2"/>
    <x v="2"/>
    <x v="2"/>
    <x v="3"/>
    <x v="160"/>
    <x v="134"/>
    <x v="135"/>
    <x v="147"/>
    <x v="42"/>
    <x v="141"/>
    <x v="2"/>
  </r>
  <r>
    <x v="0"/>
    <x v="9"/>
    <x v="9"/>
    <x v="6"/>
    <x v="6"/>
    <x v="6"/>
    <x v="5"/>
    <x v="161"/>
    <x v="135"/>
    <x v="136"/>
    <x v="148"/>
    <x v="42"/>
    <x v="141"/>
    <x v="2"/>
  </r>
  <r>
    <x v="0"/>
    <x v="9"/>
    <x v="9"/>
    <x v="11"/>
    <x v="11"/>
    <x v="11"/>
    <x v="6"/>
    <x v="162"/>
    <x v="47"/>
    <x v="137"/>
    <x v="149"/>
    <x v="147"/>
    <x v="142"/>
    <x v="2"/>
  </r>
  <r>
    <x v="0"/>
    <x v="9"/>
    <x v="9"/>
    <x v="28"/>
    <x v="28"/>
    <x v="28"/>
    <x v="7"/>
    <x v="148"/>
    <x v="136"/>
    <x v="63"/>
    <x v="150"/>
    <x v="153"/>
    <x v="143"/>
    <x v="2"/>
  </r>
  <r>
    <x v="0"/>
    <x v="9"/>
    <x v="9"/>
    <x v="4"/>
    <x v="4"/>
    <x v="4"/>
    <x v="8"/>
    <x v="163"/>
    <x v="92"/>
    <x v="54"/>
    <x v="151"/>
    <x v="66"/>
    <x v="12"/>
    <x v="2"/>
  </r>
  <r>
    <x v="0"/>
    <x v="9"/>
    <x v="9"/>
    <x v="16"/>
    <x v="16"/>
    <x v="16"/>
    <x v="9"/>
    <x v="164"/>
    <x v="137"/>
    <x v="101"/>
    <x v="152"/>
    <x v="104"/>
    <x v="144"/>
    <x v="2"/>
  </r>
  <r>
    <x v="0"/>
    <x v="9"/>
    <x v="9"/>
    <x v="7"/>
    <x v="7"/>
    <x v="7"/>
    <x v="10"/>
    <x v="165"/>
    <x v="65"/>
    <x v="138"/>
    <x v="153"/>
    <x v="154"/>
    <x v="145"/>
    <x v="2"/>
  </r>
  <r>
    <x v="0"/>
    <x v="9"/>
    <x v="9"/>
    <x v="5"/>
    <x v="5"/>
    <x v="5"/>
    <x v="11"/>
    <x v="166"/>
    <x v="29"/>
    <x v="139"/>
    <x v="154"/>
    <x v="155"/>
    <x v="104"/>
    <x v="2"/>
  </r>
  <r>
    <x v="0"/>
    <x v="9"/>
    <x v="9"/>
    <x v="15"/>
    <x v="15"/>
    <x v="15"/>
    <x v="12"/>
    <x v="167"/>
    <x v="106"/>
    <x v="72"/>
    <x v="9"/>
    <x v="155"/>
    <x v="104"/>
    <x v="5"/>
  </r>
  <r>
    <x v="0"/>
    <x v="9"/>
    <x v="9"/>
    <x v="38"/>
    <x v="38"/>
    <x v="38"/>
    <x v="13"/>
    <x v="168"/>
    <x v="12"/>
    <x v="43"/>
    <x v="27"/>
    <x v="89"/>
    <x v="146"/>
    <x v="2"/>
  </r>
  <r>
    <x v="0"/>
    <x v="9"/>
    <x v="9"/>
    <x v="17"/>
    <x v="17"/>
    <x v="17"/>
    <x v="14"/>
    <x v="169"/>
    <x v="138"/>
    <x v="56"/>
    <x v="52"/>
    <x v="156"/>
    <x v="147"/>
    <x v="2"/>
  </r>
  <r>
    <x v="0"/>
    <x v="9"/>
    <x v="9"/>
    <x v="39"/>
    <x v="39"/>
    <x v="39"/>
    <x v="15"/>
    <x v="170"/>
    <x v="139"/>
    <x v="140"/>
    <x v="40"/>
    <x v="112"/>
    <x v="137"/>
    <x v="2"/>
  </r>
  <r>
    <x v="0"/>
    <x v="9"/>
    <x v="9"/>
    <x v="9"/>
    <x v="9"/>
    <x v="9"/>
    <x v="16"/>
    <x v="127"/>
    <x v="128"/>
    <x v="51"/>
    <x v="29"/>
    <x v="157"/>
    <x v="148"/>
    <x v="2"/>
  </r>
  <r>
    <x v="0"/>
    <x v="9"/>
    <x v="9"/>
    <x v="40"/>
    <x v="40"/>
    <x v="40"/>
    <x v="17"/>
    <x v="171"/>
    <x v="117"/>
    <x v="141"/>
    <x v="155"/>
    <x v="158"/>
    <x v="149"/>
    <x v="2"/>
  </r>
  <r>
    <x v="0"/>
    <x v="9"/>
    <x v="9"/>
    <x v="12"/>
    <x v="12"/>
    <x v="12"/>
    <x v="18"/>
    <x v="153"/>
    <x v="140"/>
    <x v="68"/>
    <x v="126"/>
    <x v="159"/>
    <x v="150"/>
    <x v="2"/>
  </r>
  <r>
    <x v="0"/>
    <x v="9"/>
    <x v="9"/>
    <x v="20"/>
    <x v="20"/>
    <x v="20"/>
    <x v="19"/>
    <x v="154"/>
    <x v="141"/>
    <x v="49"/>
    <x v="156"/>
    <x v="160"/>
    <x v="151"/>
    <x v="2"/>
  </r>
  <r>
    <x v="0"/>
    <x v="10"/>
    <x v="10"/>
    <x v="0"/>
    <x v="0"/>
    <x v="0"/>
    <x v="0"/>
    <x v="172"/>
    <x v="142"/>
    <x v="142"/>
    <x v="157"/>
    <x v="161"/>
    <x v="152"/>
    <x v="2"/>
  </r>
  <r>
    <x v="0"/>
    <x v="10"/>
    <x v="10"/>
    <x v="1"/>
    <x v="1"/>
    <x v="1"/>
    <x v="1"/>
    <x v="173"/>
    <x v="143"/>
    <x v="59"/>
    <x v="158"/>
    <x v="155"/>
    <x v="153"/>
    <x v="2"/>
  </r>
  <r>
    <x v="0"/>
    <x v="10"/>
    <x v="10"/>
    <x v="3"/>
    <x v="3"/>
    <x v="3"/>
    <x v="2"/>
    <x v="174"/>
    <x v="144"/>
    <x v="143"/>
    <x v="159"/>
    <x v="162"/>
    <x v="2"/>
    <x v="2"/>
  </r>
  <r>
    <x v="0"/>
    <x v="10"/>
    <x v="10"/>
    <x v="2"/>
    <x v="2"/>
    <x v="2"/>
    <x v="3"/>
    <x v="175"/>
    <x v="58"/>
    <x v="144"/>
    <x v="160"/>
    <x v="163"/>
    <x v="154"/>
    <x v="2"/>
  </r>
  <r>
    <x v="0"/>
    <x v="10"/>
    <x v="10"/>
    <x v="4"/>
    <x v="4"/>
    <x v="4"/>
    <x v="4"/>
    <x v="176"/>
    <x v="145"/>
    <x v="70"/>
    <x v="4"/>
    <x v="164"/>
    <x v="155"/>
    <x v="5"/>
  </r>
  <r>
    <x v="0"/>
    <x v="10"/>
    <x v="10"/>
    <x v="9"/>
    <x v="9"/>
    <x v="9"/>
    <x v="5"/>
    <x v="112"/>
    <x v="77"/>
    <x v="139"/>
    <x v="59"/>
    <x v="52"/>
    <x v="24"/>
    <x v="2"/>
  </r>
  <r>
    <x v="0"/>
    <x v="10"/>
    <x v="10"/>
    <x v="6"/>
    <x v="6"/>
    <x v="6"/>
    <x v="6"/>
    <x v="177"/>
    <x v="46"/>
    <x v="145"/>
    <x v="161"/>
    <x v="42"/>
    <x v="95"/>
    <x v="3"/>
  </r>
  <r>
    <x v="0"/>
    <x v="10"/>
    <x v="10"/>
    <x v="5"/>
    <x v="5"/>
    <x v="5"/>
    <x v="7"/>
    <x v="75"/>
    <x v="135"/>
    <x v="146"/>
    <x v="162"/>
    <x v="153"/>
    <x v="156"/>
    <x v="2"/>
  </r>
  <r>
    <x v="0"/>
    <x v="10"/>
    <x v="10"/>
    <x v="10"/>
    <x v="10"/>
    <x v="10"/>
    <x v="8"/>
    <x v="53"/>
    <x v="122"/>
    <x v="147"/>
    <x v="122"/>
    <x v="121"/>
    <x v="157"/>
    <x v="2"/>
  </r>
  <r>
    <x v="0"/>
    <x v="10"/>
    <x v="10"/>
    <x v="17"/>
    <x v="17"/>
    <x v="17"/>
    <x v="9"/>
    <x v="162"/>
    <x v="48"/>
    <x v="45"/>
    <x v="50"/>
    <x v="75"/>
    <x v="158"/>
    <x v="2"/>
  </r>
  <r>
    <x v="0"/>
    <x v="10"/>
    <x v="10"/>
    <x v="7"/>
    <x v="7"/>
    <x v="7"/>
    <x v="10"/>
    <x v="149"/>
    <x v="146"/>
    <x v="132"/>
    <x v="163"/>
    <x v="165"/>
    <x v="144"/>
    <x v="2"/>
  </r>
  <r>
    <x v="0"/>
    <x v="10"/>
    <x v="10"/>
    <x v="8"/>
    <x v="8"/>
    <x v="8"/>
    <x v="11"/>
    <x v="143"/>
    <x v="106"/>
    <x v="117"/>
    <x v="164"/>
    <x v="165"/>
    <x v="144"/>
    <x v="3"/>
  </r>
  <r>
    <x v="0"/>
    <x v="10"/>
    <x v="10"/>
    <x v="12"/>
    <x v="12"/>
    <x v="12"/>
    <x v="12"/>
    <x v="178"/>
    <x v="147"/>
    <x v="51"/>
    <x v="15"/>
    <x v="166"/>
    <x v="143"/>
    <x v="2"/>
  </r>
  <r>
    <x v="0"/>
    <x v="10"/>
    <x v="10"/>
    <x v="18"/>
    <x v="18"/>
    <x v="18"/>
    <x v="13"/>
    <x v="167"/>
    <x v="125"/>
    <x v="68"/>
    <x v="66"/>
    <x v="167"/>
    <x v="159"/>
    <x v="2"/>
  </r>
  <r>
    <x v="0"/>
    <x v="10"/>
    <x v="10"/>
    <x v="15"/>
    <x v="15"/>
    <x v="15"/>
    <x v="14"/>
    <x v="145"/>
    <x v="33"/>
    <x v="57"/>
    <x v="65"/>
    <x v="56"/>
    <x v="64"/>
    <x v="5"/>
  </r>
  <r>
    <x v="0"/>
    <x v="10"/>
    <x v="10"/>
    <x v="19"/>
    <x v="19"/>
    <x v="19"/>
    <x v="15"/>
    <x v="57"/>
    <x v="96"/>
    <x v="82"/>
    <x v="165"/>
    <x v="168"/>
    <x v="160"/>
    <x v="2"/>
  </r>
  <r>
    <x v="0"/>
    <x v="10"/>
    <x v="10"/>
    <x v="16"/>
    <x v="16"/>
    <x v="16"/>
    <x v="16"/>
    <x v="179"/>
    <x v="81"/>
    <x v="101"/>
    <x v="166"/>
    <x v="169"/>
    <x v="161"/>
    <x v="2"/>
  </r>
  <r>
    <x v="0"/>
    <x v="10"/>
    <x v="10"/>
    <x v="11"/>
    <x v="11"/>
    <x v="11"/>
    <x v="17"/>
    <x v="168"/>
    <x v="15"/>
    <x v="148"/>
    <x v="167"/>
    <x v="168"/>
    <x v="160"/>
    <x v="2"/>
  </r>
  <r>
    <x v="0"/>
    <x v="10"/>
    <x v="10"/>
    <x v="40"/>
    <x v="40"/>
    <x v="40"/>
    <x v="18"/>
    <x v="124"/>
    <x v="148"/>
    <x v="149"/>
    <x v="168"/>
    <x v="170"/>
    <x v="162"/>
    <x v="2"/>
  </r>
  <r>
    <x v="0"/>
    <x v="10"/>
    <x v="10"/>
    <x v="41"/>
    <x v="41"/>
    <x v="41"/>
    <x v="19"/>
    <x v="180"/>
    <x v="140"/>
    <x v="76"/>
    <x v="61"/>
    <x v="171"/>
    <x v="163"/>
    <x v="2"/>
  </r>
  <r>
    <x v="0"/>
    <x v="11"/>
    <x v="11"/>
    <x v="0"/>
    <x v="0"/>
    <x v="0"/>
    <x v="0"/>
    <x v="181"/>
    <x v="149"/>
    <x v="150"/>
    <x v="169"/>
    <x v="172"/>
    <x v="164"/>
    <x v="2"/>
  </r>
  <r>
    <x v="0"/>
    <x v="11"/>
    <x v="11"/>
    <x v="2"/>
    <x v="2"/>
    <x v="2"/>
    <x v="1"/>
    <x v="182"/>
    <x v="150"/>
    <x v="115"/>
    <x v="170"/>
    <x v="173"/>
    <x v="135"/>
    <x v="2"/>
  </r>
  <r>
    <x v="0"/>
    <x v="11"/>
    <x v="11"/>
    <x v="1"/>
    <x v="1"/>
    <x v="1"/>
    <x v="2"/>
    <x v="183"/>
    <x v="151"/>
    <x v="151"/>
    <x v="171"/>
    <x v="174"/>
    <x v="165"/>
    <x v="3"/>
  </r>
  <r>
    <x v="0"/>
    <x v="11"/>
    <x v="11"/>
    <x v="4"/>
    <x v="4"/>
    <x v="4"/>
    <x v="3"/>
    <x v="94"/>
    <x v="152"/>
    <x v="54"/>
    <x v="25"/>
    <x v="175"/>
    <x v="166"/>
    <x v="2"/>
  </r>
  <r>
    <x v="0"/>
    <x v="11"/>
    <x v="11"/>
    <x v="5"/>
    <x v="5"/>
    <x v="5"/>
    <x v="4"/>
    <x v="184"/>
    <x v="134"/>
    <x v="152"/>
    <x v="172"/>
    <x v="176"/>
    <x v="167"/>
    <x v="2"/>
  </r>
  <r>
    <x v="0"/>
    <x v="11"/>
    <x v="11"/>
    <x v="7"/>
    <x v="7"/>
    <x v="7"/>
    <x v="5"/>
    <x v="76"/>
    <x v="58"/>
    <x v="117"/>
    <x v="173"/>
    <x v="143"/>
    <x v="60"/>
    <x v="2"/>
  </r>
  <r>
    <x v="0"/>
    <x v="11"/>
    <x v="11"/>
    <x v="6"/>
    <x v="6"/>
    <x v="6"/>
    <x v="6"/>
    <x v="149"/>
    <x v="153"/>
    <x v="153"/>
    <x v="174"/>
    <x v="90"/>
    <x v="79"/>
    <x v="2"/>
  </r>
  <r>
    <x v="0"/>
    <x v="11"/>
    <x v="11"/>
    <x v="42"/>
    <x v="42"/>
    <x v="42"/>
    <x v="7"/>
    <x v="166"/>
    <x v="77"/>
    <x v="154"/>
    <x v="16"/>
    <x v="108"/>
    <x v="123"/>
    <x v="2"/>
  </r>
  <r>
    <x v="0"/>
    <x v="11"/>
    <x v="11"/>
    <x v="12"/>
    <x v="12"/>
    <x v="12"/>
    <x v="8"/>
    <x v="150"/>
    <x v="46"/>
    <x v="70"/>
    <x v="175"/>
    <x v="107"/>
    <x v="168"/>
    <x v="2"/>
  </r>
  <r>
    <x v="0"/>
    <x v="11"/>
    <x v="11"/>
    <x v="9"/>
    <x v="9"/>
    <x v="9"/>
    <x v="9"/>
    <x v="151"/>
    <x v="91"/>
    <x v="94"/>
    <x v="176"/>
    <x v="177"/>
    <x v="169"/>
    <x v="2"/>
  </r>
  <r>
    <x v="0"/>
    <x v="11"/>
    <x v="11"/>
    <x v="18"/>
    <x v="18"/>
    <x v="18"/>
    <x v="10"/>
    <x v="185"/>
    <x v="154"/>
    <x v="53"/>
    <x v="177"/>
    <x v="178"/>
    <x v="119"/>
    <x v="2"/>
  </r>
  <r>
    <x v="0"/>
    <x v="11"/>
    <x v="11"/>
    <x v="8"/>
    <x v="8"/>
    <x v="8"/>
    <x v="10"/>
    <x v="185"/>
    <x v="154"/>
    <x v="103"/>
    <x v="178"/>
    <x v="154"/>
    <x v="170"/>
    <x v="5"/>
  </r>
  <r>
    <x v="0"/>
    <x v="11"/>
    <x v="11"/>
    <x v="3"/>
    <x v="3"/>
    <x v="3"/>
    <x v="12"/>
    <x v="186"/>
    <x v="8"/>
    <x v="66"/>
    <x v="68"/>
    <x v="179"/>
    <x v="171"/>
    <x v="2"/>
  </r>
  <r>
    <x v="0"/>
    <x v="11"/>
    <x v="11"/>
    <x v="14"/>
    <x v="14"/>
    <x v="14"/>
    <x v="13"/>
    <x v="187"/>
    <x v="136"/>
    <x v="104"/>
    <x v="179"/>
    <x v="157"/>
    <x v="172"/>
    <x v="2"/>
  </r>
  <r>
    <x v="0"/>
    <x v="11"/>
    <x v="11"/>
    <x v="19"/>
    <x v="19"/>
    <x v="19"/>
    <x v="14"/>
    <x v="188"/>
    <x v="48"/>
    <x v="88"/>
    <x v="180"/>
    <x v="123"/>
    <x v="160"/>
    <x v="2"/>
  </r>
  <r>
    <x v="0"/>
    <x v="11"/>
    <x v="11"/>
    <x v="15"/>
    <x v="15"/>
    <x v="15"/>
    <x v="14"/>
    <x v="188"/>
    <x v="48"/>
    <x v="53"/>
    <x v="177"/>
    <x v="180"/>
    <x v="173"/>
    <x v="2"/>
  </r>
  <r>
    <x v="0"/>
    <x v="11"/>
    <x v="11"/>
    <x v="10"/>
    <x v="10"/>
    <x v="10"/>
    <x v="16"/>
    <x v="189"/>
    <x v="65"/>
    <x v="102"/>
    <x v="181"/>
    <x v="181"/>
    <x v="174"/>
    <x v="2"/>
  </r>
  <r>
    <x v="0"/>
    <x v="11"/>
    <x v="11"/>
    <x v="30"/>
    <x v="30"/>
    <x v="30"/>
    <x v="17"/>
    <x v="190"/>
    <x v="95"/>
    <x v="43"/>
    <x v="182"/>
    <x v="160"/>
    <x v="15"/>
    <x v="2"/>
  </r>
  <r>
    <x v="0"/>
    <x v="11"/>
    <x v="11"/>
    <x v="16"/>
    <x v="16"/>
    <x v="16"/>
    <x v="18"/>
    <x v="156"/>
    <x v="15"/>
    <x v="155"/>
    <x v="124"/>
    <x v="146"/>
    <x v="175"/>
    <x v="2"/>
  </r>
  <r>
    <x v="0"/>
    <x v="11"/>
    <x v="11"/>
    <x v="17"/>
    <x v="17"/>
    <x v="17"/>
    <x v="19"/>
    <x v="191"/>
    <x v="117"/>
    <x v="68"/>
    <x v="18"/>
    <x v="182"/>
    <x v="176"/>
    <x v="2"/>
  </r>
  <r>
    <x v="0"/>
    <x v="11"/>
    <x v="11"/>
    <x v="40"/>
    <x v="40"/>
    <x v="40"/>
    <x v="19"/>
    <x v="191"/>
    <x v="117"/>
    <x v="52"/>
    <x v="183"/>
    <x v="183"/>
    <x v="177"/>
    <x v="2"/>
  </r>
  <r>
    <x v="0"/>
    <x v="12"/>
    <x v="12"/>
    <x v="0"/>
    <x v="0"/>
    <x v="0"/>
    <x v="0"/>
    <x v="192"/>
    <x v="155"/>
    <x v="156"/>
    <x v="184"/>
    <x v="184"/>
    <x v="178"/>
    <x v="2"/>
  </r>
  <r>
    <x v="0"/>
    <x v="12"/>
    <x v="12"/>
    <x v="1"/>
    <x v="1"/>
    <x v="1"/>
    <x v="1"/>
    <x v="193"/>
    <x v="156"/>
    <x v="157"/>
    <x v="100"/>
    <x v="88"/>
    <x v="179"/>
    <x v="2"/>
  </r>
  <r>
    <x v="0"/>
    <x v="12"/>
    <x v="12"/>
    <x v="2"/>
    <x v="2"/>
    <x v="2"/>
    <x v="2"/>
    <x v="194"/>
    <x v="157"/>
    <x v="158"/>
    <x v="185"/>
    <x v="108"/>
    <x v="180"/>
    <x v="2"/>
  </r>
  <r>
    <x v="0"/>
    <x v="12"/>
    <x v="12"/>
    <x v="3"/>
    <x v="3"/>
    <x v="3"/>
    <x v="3"/>
    <x v="195"/>
    <x v="158"/>
    <x v="159"/>
    <x v="186"/>
    <x v="185"/>
    <x v="98"/>
    <x v="2"/>
  </r>
  <r>
    <x v="0"/>
    <x v="12"/>
    <x v="12"/>
    <x v="4"/>
    <x v="4"/>
    <x v="4"/>
    <x v="4"/>
    <x v="196"/>
    <x v="159"/>
    <x v="63"/>
    <x v="4"/>
    <x v="186"/>
    <x v="181"/>
    <x v="3"/>
  </r>
  <r>
    <x v="0"/>
    <x v="12"/>
    <x v="12"/>
    <x v="6"/>
    <x v="6"/>
    <x v="6"/>
    <x v="5"/>
    <x v="46"/>
    <x v="77"/>
    <x v="160"/>
    <x v="187"/>
    <x v="143"/>
    <x v="154"/>
    <x v="2"/>
  </r>
  <r>
    <x v="0"/>
    <x v="12"/>
    <x v="12"/>
    <x v="10"/>
    <x v="10"/>
    <x v="10"/>
    <x v="6"/>
    <x v="197"/>
    <x v="28"/>
    <x v="161"/>
    <x v="188"/>
    <x v="187"/>
    <x v="182"/>
    <x v="2"/>
  </r>
  <r>
    <x v="0"/>
    <x v="12"/>
    <x v="12"/>
    <x v="5"/>
    <x v="5"/>
    <x v="5"/>
    <x v="7"/>
    <x v="198"/>
    <x v="113"/>
    <x v="162"/>
    <x v="189"/>
    <x v="188"/>
    <x v="123"/>
    <x v="2"/>
  </r>
  <r>
    <x v="0"/>
    <x v="12"/>
    <x v="12"/>
    <x v="11"/>
    <x v="11"/>
    <x v="11"/>
    <x v="8"/>
    <x v="199"/>
    <x v="11"/>
    <x v="163"/>
    <x v="113"/>
    <x v="149"/>
    <x v="183"/>
    <x v="2"/>
  </r>
  <r>
    <x v="0"/>
    <x v="12"/>
    <x v="12"/>
    <x v="7"/>
    <x v="7"/>
    <x v="7"/>
    <x v="9"/>
    <x v="200"/>
    <x v="29"/>
    <x v="164"/>
    <x v="152"/>
    <x v="143"/>
    <x v="154"/>
    <x v="2"/>
  </r>
  <r>
    <x v="0"/>
    <x v="12"/>
    <x v="12"/>
    <x v="9"/>
    <x v="9"/>
    <x v="9"/>
    <x v="10"/>
    <x v="201"/>
    <x v="147"/>
    <x v="44"/>
    <x v="90"/>
    <x v="70"/>
    <x v="117"/>
    <x v="2"/>
  </r>
  <r>
    <x v="0"/>
    <x v="12"/>
    <x v="12"/>
    <x v="16"/>
    <x v="16"/>
    <x v="16"/>
    <x v="11"/>
    <x v="110"/>
    <x v="79"/>
    <x v="165"/>
    <x v="190"/>
    <x v="134"/>
    <x v="2"/>
    <x v="2"/>
  </r>
  <r>
    <x v="0"/>
    <x v="12"/>
    <x v="12"/>
    <x v="36"/>
    <x v="36"/>
    <x v="36"/>
    <x v="12"/>
    <x v="147"/>
    <x v="125"/>
    <x v="109"/>
    <x v="191"/>
    <x v="189"/>
    <x v="184"/>
    <x v="2"/>
  </r>
  <r>
    <x v="0"/>
    <x v="12"/>
    <x v="12"/>
    <x v="8"/>
    <x v="8"/>
    <x v="8"/>
    <x v="13"/>
    <x v="95"/>
    <x v="13"/>
    <x v="166"/>
    <x v="98"/>
    <x v="185"/>
    <x v="98"/>
    <x v="3"/>
  </r>
  <r>
    <x v="0"/>
    <x v="12"/>
    <x v="12"/>
    <x v="40"/>
    <x v="40"/>
    <x v="40"/>
    <x v="14"/>
    <x v="202"/>
    <x v="35"/>
    <x v="167"/>
    <x v="192"/>
    <x v="155"/>
    <x v="185"/>
    <x v="2"/>
  </r>
  <r>
    <x v="0"/>
    <x v="12"/>
    <x v="12"/>
    <x v="19"/>
    <x v="19"/>
    <x v="19"/>
    <x v="15"/>
    <x v="203"/>
    <x v="138"/>
    <x v="78"/>
    <x v="193"/>
    <x v="190"/>
    <x v="34"/>
    <x v="2"/>
  </r>
  <r>
    <x v="0"/>
    <x v="12"/>
    <x v="12"/>
    <x v="43"/>
    <x v="43"/>
    <x v="43"/>
    <x v="16"/>
    <x v="204"/>
    <x v="18"/>
    <x v="51"/>
    <x v="111"/>
    <x v="191"/>
    <x v="186"/>
    <x v="2"/>
  </r>
  <r>
    <x v="0"/>
    <x v="12"/>
    <x v="12"/>
    <x v="44"/>
    <x v="44"/>
    <x v="44"/>
    <x v="17"/>
    <x v="205"/>
    <x v="66"/>
    <x v="168"/>
    <x v="194"/>
    <x v="192"/>
    <x v="151"/>
    <x v="2"/>
  </r>
  <r>
    <x v="0"/>
    <x v="12"/>
    <x v="12"/>
    <x v="12"/>
    <x v="12"/>
    <x v="12"/>
    <x v="18"/>
    <x v="206"/>
    <x v="51"/>
    <x v="51"/>
    <x v="111"/>
    <x v="193"/>
    <x v="148"/>
    <x v="2"/>
  </r>
  <r>
    <x v="0"/>
    <x v="12"/>
    <x v="12"/>
    <x v="45"/>
    <x v="45"/>
    <x v="45"/>
    <x v="19"/>
    <x v="207"/>
    <x v="52"/>
    <x v="94"/>
    <x v="29"/>
    <x v="75"/>
    <x v="163"/>
    <x v="2"/>
  </r>
  <r>
    <x v="0"/>
    <x v="13"/>
    <x v="13"/>
    <x v="0"/>
    <x v="0"/>
    <x v="0"/>
    <x v="0"/>
    <x v="208"/>
    <x v="160"/>
    <x v="38"/>
    <x v="195"/>
    <x v="194"/>
    <x v="187"/>
    <x v="3"/>
  </r>
  <r>
    <x v="0"/>
    <x v="13"/>
    <x v="13"/>
    <x v="2"/>
    <x v="2"/>
    <x v="2"/>
    <x v="1"/>
    <x v="209"/>
    <x v="161"/>
    <x v="169"/>
    <x v="196"/>
    <x v="195"/>
    <x v="101"/>
    <x v="2"/>
  </r>
  <r>
    <x v="0"/>
    <x v="13"/>
    <x v="13"/>
    <x v="1"/>
    <x v="1"/>
    <x v="1"/>
    <x v="2"/>
    <x v="210"/>
    <x v="162"/>
    <x v="170"/>
    <x v="197"/>
    <x v="196"/>
    <x v="188"/>
    <x v="2"/>
  </r>
  <r>
    <x v="0"/>
    <x v="13"/>
    <x v="13"/>
    <x v="4"/>
    <x v="4"/>
    <x v="4"/>
    <x v="3"/>
    <x v="211"/>
    <x v="163"/>
    <x v="49"/>
    <x v="198"/>
    <x v="197"/>
    <x v="189"/>
    <x v="1"/>
  </r>
  <r>
    <x v="0"/>
    <x v="13"/>
    <x v="13"/>
    <x v="6"/>
    <x v="6"/>
    <x v="6"/>
    <x v="4"/>
    <x v="212"/>
    <x v="132"/>
    <x v="171"/>
    <x v="199"/>
    <x v="198"/>
    <x v="190"/>
    <x v="2"/>
  </r>
  <r>
    <x v="0"/>
    <x v="13"/>
    <x v="13"/>
    <x v="8"/>
    <x v="8"/>
    <x v="8"/>
    <x v="5"/>
    <x v="213"/>
    <x v="164"/>
    <x v="172"/>
    <x v="200"/>
    <x v="199"/>
    <x v="176"/>
    <x v="5"/>
  </r>
  <r>
    <x v="0"/>
    <x v="13"/>
    <x v="13"/>
    <x v="7"/>
    <x v="7"/>
    <x v="7"/>
    <x v="6"/>
    <x v="214"/>
    <x v="145"/>
    <x v="173"/>
    <x v="201"/>
    <x v="129"/>
    <x v="191"/>
    <x v="2"/>
  </r>
  <r>
    <x v="0"/>
    <x v="13"/>
    <x v="13"/>
    <x v="9"/>
    <x v="9"/>
    <x v="9"/>
    <x v="7"/>
    <x v="66"/>
    <x v="90"/>
    <x v="174"/>
    <x v="182"/>
    <x v="200"/>
    <x v="192"/>
    <x v="2"/>
  </r>
  <r>
    <x v="0"/>
    <x v="13"/>
    <x v="13"/>
    <x v="3"/>
    <x v="3"/>
    <x v="3"/>
    <x v="8"/>
    <x v="215"/>
    <x v="165"/>
    <x v="175"/>
    <x v="202"/>
    <x v="201"/>
    <x v="193"/>
    <x v="2"/>
  </r>
  <r>
    <x v="0"/>
    <x v="13"/>
    <x v="13"/>
    <x v="12"/>
    <x v="12"/>
    <x v="12"/>
    <x v="9"/>
    <x v="216"/>
    <x v="46"/>
    <x v="44"/>
    <x v="156"/>
    <x v="94"/>
    <x v="75"/>
    <x v="2"/>
  </r>
  <r>
    <x v="0"/>
    <x v="13"/>
    <x v="13"/>
    <x v="5"/>
    <x v="5"/>
    <x v="5"/>
    <x v="10"/>
    <x v="197"/>
    <x v="166"/>
    <x v="174"/>
    <x v="182"/>
    <x v="202"/>
    <x v="194"/>
    <x v="2"/>
  </r>
  <r>
    <x v="0"/>
    <x v="13"/>
    <x v="13"/>
    <x v="14"/>
    <x v="14"/>
    <x v="14"/>
    <x v="11"/>
    <x v="217"/>
    <x v="47"/>
    <x v="176"/>
    <x v="203"/>
    <x v="72"/>
    <x v="195"/>
    <x v="2"/>
  </r>
  <r>
    <x v="0"/>
    <x v="13"/>
    <x v="13"/>
    <x v="19"/>
    <x v="19"/>
    <x v="19"/>
    <x v="12"/>
    <x v="218"/>
    <x v="28"/>
    <x v="59"/>
    <x v="26"/>
    <x v="190"/>
    <x v="196"/>
    <x v="2"/>
  </r>
  <r>
    <x v="0"/>
    <x v="13"/>
    <x v="13"/>
    <x v="11"/>
    <x v="11"/>
    <x v="11"/>
    <x v="13"/>
    <x v="219"/>
    <x v="106"/>
    <x v="108"/>
    <x v="113"/>
    <x v="203"/>
    <x v="113"/>
    <x v="2"/>
  </r>
  <r>
    <x v="0"/>
    <x v="13"/>
    <x v="13"/>
    <x v="18"/>
    <x v="18"/>
    <x v="18"/>
    <x v="14"/>
    <x v="220"/>
    <x v="79"/>
    <x v="45"/>
    <x v="126"/>
    <x v="204"/>
    <x v="143"/>
    <x v="3"/>
  </r>
  <r>
    <x v="0"/>
    <x v="13"/>
    <x v="13"/>
    <x v="42"/>
    <x v="42"/>
    <x v="42"/>
    <x v="15"/>
    <x v="221"/>
    <x v="107"/>
    <x v="132"/>
    <x v="204"/>
    <x v="141"/>
    <x v="163"/>
    <x v="2"/>
  </r>
  <r>
    <x v="0"/>
    <x v="13"/>
    <x v="13"/>
    <x v="40"/>
    <x v="40"/>
    <x v="40"/>
    <x v="16"/>
    <x v="49"/>
    <x v="95"/>
    <x v="96"/>
    <x v="205"/>
    <x v="140"/>
    <x v="110"/>
    <x v="2"/>
  </r>
  <r>
    <x v="0"/>
    <x v="13"/>
    <x v="13"/>
    <x v="16"/>
    <x v="16"/>
    <x v="16"/>
    <x v="17"/>
    <x v="176"/>
    <x v="95"/>
    <x v="177"/>
    <x v="206"/>
    <x v="205"/>
    <x v="144"/>
    <x v="2"/>
  </r>
  <r>
    <x v="0"/>
    <x v="13"/>
    <x v="13"/>
    <x v="15"/>
    <x v="15"/>
    <x v="15"/>
    <x v="18"/>
    <x v="222"/>
    <x v="12"/>
    <x v="70"/>
    <x v="64"/>
    <x v="206"/>
    <x v="197"/>
    <x v="5"/>
  </r>
  <r>
    <x v="0"/>
    <x v="13"/>
    <x v="13"/>
    <x v="30"/>
    <x v="30"/>
    <x v="30"/>
    <x v="19"/>
    <x v="223"/>
    <x v="36"/>
    <x v="113"/>
    <x v="73"/>
    <x v="207"/>
    <x v="66"/>
    <x v="2"/>
  </r>
  <r>
    <x v="0"/>
    <x v="14"/>
    <x v="14"/>
    <x v="0"/>
    <x v="0"/>
    <x v="0"/>
    <x v="0"/>
    <x v="224"/>
    <x v="167"/>
    <x v="178"/>
    <x v="207"/>
    <x v="208"/>
    <x v="198"/>
    <x v="2"/>
  </r>
  <r>
    <x v="0"/>
    <x v="14"/>
    <x v="14"/>
    <x v="2"/>
    <x v="2"/>
    <x v="2"/>
    <x v="1"/>
    <x v="83"/>
    <x v="168"/>
    <x v="179"/>
    <x v="208"/>
    <x v="209"/>
    <x v="197"/>
    <x v="2"/>
  </r>
  <r>
    <x v="0"/>
    <x v="14"/>
    <x v="14"/>
    <x v="1"/>
    <x v="1"/>
    <x v="1"/>
    <x v="2"/>
    <x v="210"/>
    <x v="169"/>
    <x v="180"/>
    <x v="209"/>
    <x v="210"/>
    <x v="199"/>
    <x v="2"/>
  </r>
  <r>
    <x v="0"/>
    <x v="14"/>
    <x v="14"/>
    <x v="5"/>
    <x v="5"/>
    <x v="5"/>
    <x v="3"/>
    <x v="225"/>
    <x v="170"/>
    <x v="181"/>
    <x v="210"/>
    <x v="211"/>
    <x v="200"/>
    <x v="2"/>
  </r>
  <r>
    <x v="0"/>
    <x v="14"/>
    <x v="14"/>
    <x v="9"/>
    <x v="9"/>
    <x v="9"/>
    <x v="4"/>
    <x v="226"/>
    <x v="171"/>
    <x v="65"/>
    <x v="120"/>
    <x v="212"/>
    <x v="105"/>
    <x v="2"/>
  </r>
  <r>
    <x v="0"/>
    <x v="14"/>
    <x v="14"/>
    <x v="30"/>
    <x v="30"/>
    <x v="30"/>
    <x v="4"/>
    <x v="226"/>
    <x v="171"/>
    <x v="103"/>
    <x v="211"/>
    <x v="213"/>
    <x v="201"/>
    <x v="2"/>
  </r>
  <r>
    <x v="0"/>
    <x v="14"/>
    <x v="14"/>
    <x v="4"/>
    <x v="4"/>
    <x v="4"/>
    <x v="6"/>
    <x v="227"/>
    <x v="172"/>
    <x v="69"/>
    <x v="12"/>
    <x v="83"/>
    <x v="202"/>
    <x v="10"/>
  </r>
  <r>
    <x v="0"/>
    <x v="14"/>
    <x v="14"/>
    <x v="15"/>
    <x v="15"/>
    <x v="15"/>
    <x v="7"/>
    <x v="228"/>
    <x v="58"/>
    <x v="63"/>
    <x v="212"/>
    <x v="214"/>
    <x v="203"/>
    <x v="1"/>
  </r>
  <r>
    <x v="0"/>
    <x v="14"/>
    <x v="14"/>
    <x v="12"/>
    <x v="12"/>
    <x v="12"/>
    <x v="8"/>
    <x v="229"/>
    <x v="24"/>
    <x v="65"/>
    <x v="120"/>
    <x v="215"/>
    <x v="204"/>
    <x v="3"/>
  </r>
  <r>
    <x v="0"/>
    <x v="14"/>
    <x v="14"/>
    <x v="42"/>
    <x v="42"/>
    <x v="42"/>
    <x v="9"/>
    <x v="230"/>
    <x v="75"/>
    <x v="155"/>
    <x v="5"/>
    <x v="216"/>
    <x v="205"/>
    <x v="2"/>
  </r>
  <r>
    <x v="0"/>
    <x v="14"/>
    <x v="14"/>
    <x v="14"/>
    <x v="14"/>
    <x v="14"/>
    <x v="10"/>
    <x v="231"/>
    <x v="62"/>
    <x v="162"/>
    <x v="213"/>
    <x v="94"/>
    <x v="9"/>
    <x v="2"/>
  </r>
  <r>
    <x v="0"/>
    <x v="14"/>
    <x v="14"/>
    <x v="18"/>
    <x v="18"/>
    <x v="18"/>
    <x v="11"/>
    <x v="232"/>
    <x v="173"/>
    <x v="45"/>
    <x v="111"/>
    <x v="217"/>
    <x v="206"/>
    <x v="2"/>
  </r>
  <r>
    <x v="0"/>
    <x v="14"/>
    <x v="14"/>
    <x v="7"/>
    <x v="7"/>
    <x v="7"/>
    <x v="12"/>
    <x v="233"/>
    <x v="174"/>
    <x v="182"/>
    <x v="214"/>
    <x v="164"/>
    <x v="184"/>
    <x v="3"/>
  </r>
  <r>
    <x v="0"/>
    <x v="14"/>
    <x v="14"/>
    <x v="17"/>
    <x v="17"/>
    <x v="17"/>
    <x v="13"/>
    <x v="234"/>
    <x v="175"/>
    <x v="68"/>
    <x v="66"/>
    <x v="103"/>
    <x v="207"/>
    <x v="2"/>
  </r>
  <r>
    <x v="0"/>
    <x v="14"/>
    <x v="14"/>
    <x v="8"/>
    <x v="8"/>
    <x v="8"/>
    <x v="14"/>
    <x v="182"/>
    <x v="63"/>
    <x v="126"/>
    <x v="215"/>
    <x v="176"/>
    <x v="125"/>
    <x v="2"/>
  </r>
  <r>
    <x v="0"/>
    <x v="14"/>
    <x v="14"/>
    <x v="6"/>
    <x v="6"/>
    <x v="6"/>
    <x v="15"/>
    <x v="235"/>
    <x v="166"/>
    <x v="183"/>
    <x v="216"/>
    <x v="173"/>
    <x v="208"/>
    <x v="2"/>
  </r>
  <r>
    <x v="0"/>
    <x v="14"/>
    <x v="14"/>
    <x v="3"/>
    <x v="3"/>
    <x v="3"/>
    <x v="16"/>
    <x v="217"/>
    <x v="103"/>
    <x v="48"/>
    <x v="217"/>
    <x v="174"/>
    <x v="175"/>
    <x v="2"/>
  </r>
  <r>
    <x v="0"/>
    <x v="14"/>
    <x v="14"/>
    <x v="46"/>
    <x v="46"/>
    <x v="46"/>
    <x v="17"/>
    <x v="236"/>
    <x v="28"/>
    <x v="45"/>
    <x v="111"/>
    <x v="218"/>
    <x v="117"/>
    <x v="2"/>
  </r>
  <r>
    <x v="0"/>
    <x v="14"/>
    <x v="14"/>
    <x v="13"/>
    <x v="13"/>
    <x v="13"/>
    <x v="18"/>
    <x v="237"/>
    <x v="114"/>
    <x v="184"/>
    <x v="218"/>
    <x v="147"/>
    <x v="160"/>
    <x v="2"/>
  </r>
  <r>
    <x v="0"/>
    <x v="14"/>
    <x v="14"/>
    <x v="10"/>
    <x v="10"/>
    <x v="10"/>
    <x v="19"/>
    <x v="238"/>
    <x v="48"/>
    <x v="185"/>
    <x v="219"/>
    <x v="182"/>
    <x v="209"/>
    <x v="2"/>
  </r>
  <r>
    <x v="0"/>
    <x v="15"/>
    <x v="15"/>
    <x v="0"/>
    <x v="0"/>
    <x v="0"/>
    <x v="0"/>
    <x v="239"/>
    <x v="176"/>
    <x v="186"/>
    <x v="220"/>
    <x v="172"/>
    <x v="210"/>
    <x v="2"/>
  </r>
  <r>
    <x v="0"/>
    <x v="15"/>
    <x v="15"/>
    <x v="4"/>
    <x v="4"/>
    <x v="4"/>
    <x v="1"/>
    <x v="48"/>
    <x v="55"/>
    <x v="72"/>
    <x v="46"/>
    <x v="219"/>
    <x v="211"/>
    <x v="2"/>
  </r>
  <r>
    <x v="0"/>
    <x v="15"/>
    <x v="15"/>
    <x v="2"/>
    <x v="2"/>
    <x v="2"/>
    <x v="2"/>
    <x v="108"/>
    <x v="177"/>
    <x v="80"/>
    <x v="221"/>
    <x v="183"/>
    <x v="67"/>
    <x v="2"/>
  </r>
  <r>
    <x v="0"/>
    <x v="15"/>
    <x v="15"/>
    <x v="1"/>
    <x v="1"/>
    <x v="1"/>
    <x v="3"/>
    <x v="201"/>
    <x v="178"/>
    <x v="33"/>
    <x v="222"/>
    <x v="165"/>
    <x v="14"/>
    <x v="2"/>
  </r>
  <r>
    <x v="0"/>
    <x v="15"/>
    <x v="15"/>
    <x v="3"/>
    <x v="3"/>
    <x v="3"/>
    <x v="4"/>
    <x v="51"/>
    <x v="179"/>
    <x v="67"/>
    <x v="223"/>
    <x v="138"/>
    <x v="212"/>
    <x v="2"/>
  </r>
  <r>
    <x v="0"/>
    <x v="15"/>
    <x v="15"/>
    <x v="6"/>
    <x v="6"/>
    <x v="6"/>
    <x v="5"/>
    <x v="161"/>
    <x v="180"/>
    <x v="187"/>
    <x v="224"/>
    <x v="90"/>
    <x v="100"/>
    <x v="2"/>
  </r>
  <r>
    <x v="0"/>
    <x v="15"/>
    <x v="15"/>
    <x v="7"/>
    <x v="7"/>
    <x v="7"/>
    <x v="6"/>
    <x v="240"/>
    <x v="181"/>
    <x v="105"/>
    <x v="225"/>
    <x v="220"/>
    <x v="213"/>
    <x v="2"/>
  </r>
  <r>
    <x v="0"/>
    <x v="15"/>
    <x v="15"/>
    <x v="8"/>
    <x v="8"/>
    <x v="8"/>
    <x v="7"/>
    <x v="241"/>
    <x v="63"/>
    <x v="106"/>
    <x v="226"/>
    <x v="221"/>
    <x v="144"/>
    <x v="3"/>
  </r>
  <r>
    <x v="0"/>
    <x v="15"/>
    <x v="15"/>
    <x v="9"/>
    <x v="9"/>
    <x v="9"/>
    <x v="8"/>
    <x v="119"/>
    <x v="27"/>
    <x v="51"/>
    <x v="12"/>
    <x v="222"/>
    <x v="214"/>
    <x v="2"/>
  </r>
  <r>
    <x v="0"/>
    <x v="15"/>
    <x v="15"/>
    <x v="14"/>
    <x v="14"/>
    <x v="14"/>
    <x v="9"/>
    <x v="168"/>
    <x v="8"/>
    <x v="104"/>
    <x v="35"/>
    <x v="119"/>
    <x v="26"/>
    <x v="2"/>
  </r>
  <r>
    <x v="0"/>
    <x v="15"/>
    <x v="15"/>
    <x v="11"/>
    <x v="11"/>
    <x v="11"/>
    <x v="10"/>
    <x v="121"/>
    <x v="64"/>
    <x v="58"/>
    <x v="227"/>
    <x v="223"/>
    <x v="215"/>
    <x v="2"/>
  </r>
  <r>
    <x v="0"/>
    <x v="15"/>
    <x v="15"/>
    <x v="40"/>
    <x v="40"/>
    <x v="40"/>
    <x v="11"/>
    <x v="123"/>
    <x v="182"/>
    <x v="188"/>
    <x v="228"/>
    <x v="220"/>
    <x v="213"/>
    <x v="2"/>
  </r>
  <r>
    <x v="0"/>
    <x v="15"/>
    <x v="15"/>
    <x v="5"/>
    <x v="5"/>
    <x v="5"/>
    <x v="12"/>
    <x v="242"/>
    <x v="105"/>
    <x v="189"/>
    <x v="229"/>
    <x v="124"/>
    <x v="62"/>
    <x v="2"/>
  </r>
  <r>
    <x v="0"/>
    <x v="15"/>
    <x v="15"/>
    <x v="12"/>
    <x v="12"/>
    <x v="12"/>
    <x v="13"/>
    <x v="125"/>
    <x v="183"/>
    <x v="51"/>
    <x v="12"/>
    <x v="224"/>
    <x v="216"/>
    <x v="2"/>
  </r>
  <r>
    <x v="0"/>
    <x v="15"/>
    <x v="15"/>
    <x v="10"/>
    <x v="10"/>
    <x v="10"/>
    <x v="13"/>
    <x v="125"/>
    <x v="183"/>
    <x v="190"/>
    <x v="230"/>
    <x v="225"/>
    <x v="126"/>
    <x v="2"/>
  </r>
  <r>
    <x v="0"/>
    <x v="15"/>
    <x v="15"/>
    <x v="19"/>
    <x v="19"/>
    <x v="19"/>
    <x v="15"/>
    <x v="153"/>
    <x v="95"/>
    <x v="107"/>
    <x v="231"/>
    <x v="115"/>
    <x v="31"/>
    <x v="2"/>
  </r>
  <r>
    <x v="0"/>
    <x v="15"/>
    <x v="15"/>
    <x v="16"/>
    <x v="16"/>
    <x v="16"/>
    <x v="16"/>
    <x v="156"/>
    <x v="16"/>
    <x v="118"/>
    <x v="232"/>
    <x v="226"/>
    <x v="16"/>
    <x v="2"/>
  </r>
  <r>
    <x v="0"/>
    <x v="15"/>
    <x v="15"/>
    <x v="45"/>
    <x v="45"/>
    <x v="45"/>
    <x v="17"/>
    <x v="243"/>
    <x v="184"/>
    <x v="43"/>
    <x v="233"/>
    <x v="227"/>
    <x v="50"/>
    <x v="2"/>
  </r>
  <r>
    <x v="0"/>
    <x v="15"/>
    <x v="15"/>
    <x v="17"/>
    <x v="17"/>
    <x v="17"/>
    <x v="17"/>
    <x v="243"/>
    <x v="184"/>
    <x v="68"/>
    <x v="126"/>
    <x v="228"/>
    <x v="217"/>
    <x v="2"/>
  </r>
  <r>
    <x v="0"/>
    <x v="15"/>
    <x v="15"/>
    <x v="13"/>
    <x v="13"/>
    <x v="13"/>
    <x v="17"/>
    <x v="243"/>
    <x v="184"/>
    <x v="178"/>
    <x v="234"/>
    <x v="115"/>
    <x v="31"/>
    <x v="2"/>
  </r>
  <r>
    <x v="0"/>
    <x v="16"/>
    <x v="16"/>
    <x v="0"/>
    <x v="0"/>
    <x v="0"/>
    <x v="0"/>
    <x v="244"/>
    <x v="185"/>
    <x v="191"/>
    <x v="235"/>
    <x v="76"/>
    <x v="218"/>
    <x v="2"/>
  </r>
  <r>
    <x v="0"/>
    <x v="16"/>
    <x v="16"/>
    <x v="1"/>
    <x v="1"/>
    <x v="1"/>
    <x v="1"/>
    <x v="245"/>
    <x v="151"/>
    <x v="192"/>
    <x v="236"/>
    <x v="89"/>
    <x v="37"/>
    <x v="2"/>
  </r>
  <r>
    <x v="0"/>
    <x v="16"/>
    <x v="16"/>
    <x v="2"/>
    <x v="2"/>
    <x v="2"/>
    <x v="2"/>
    <x v="246"/>
    <x v="186"/>
    <x v="193"/>
    <x v="82"/>
    <x v="229"/>
    <x v="179"/>
    <x v="2"/>
  </r>
  <r>
    <x v="0"/>
    <x v="16"/>
    <x v="16"/>
    <x v="4"/>
    <x v="4"/>
    <x v="4"/>
    <x v="3"/>
    <x v="247"/>
    <x v="187"/>
    <x v="63"/>
    <x v="237"/>
    <x v="230"/>
    <x v="219"/>
    <x v="3"/>
  </r>
  <r>
    <x v="0"/>
    <x v="16"/>
    <x v="16"/>
    <x v="3"/>
    <x v="3"/>
    <x v="3"/>
    <x v="4"/>
    <x v="248"/>
    <x v="42"/>
    <x v="194"/>
    <x v="238"/>
    <x v="169"/>
    <x v="220"/>
    <x v="2"/>
  </r>
  <r>
    <x v="0"/>
    <x v="16"/>
    <x v="16"/>
    <x v="6"/>
    <x v="6"/>
    <x v="6"/>
    <x v="5"/>
    <x v="249"/>
    <x v="188"/>
    <x v="195"/>
    <x v="239"/>
    <x v="163"/>
    <x v="221"/>
    <x v="2"/>
  </r>
  <r>
    <x v="0"/>
    <x v="16"/>
    <x v="16"/>
    <x v="7"/>
    <x v="7"/>
    <x v="7"/>
    <x v="6"/>
    <x v="250"/>
    <x v="189"/>
    <x v="196"/>
    <x v="11"/>
    <x v="143"/>
    <x v="163"/>
    <x v="2"/>
  </r>
  <r>
    <x v="0"/>
    <x v="16"/>
    <x v="16"/>
    <x v="8"/>
    <x v="8"/>
    <x v="8"/>
    <x v="7"/>
    <x v="251"/>
    <x v="190"/>
    <x v="197"/>
    <x v="240"/>
    <x v="132"/>
    <x v="78"/>
    <x v="3"/>
  </r>
  <r>
    <x v="0"/>
    <x v="16"/>
    <x v="16"/>
    <x v="10"/>
    <x v="10"/>
    <x v="10"/>
    <x v="8"/>
    <x v="252"/>
    <x v="191"/>
    <x v="198"/>
    <x v="241"/>
    <x v="41"/>
    <x v="222"/>
    <x v="2"/>
  </r>
  <r>
    <x v="0"/>
    <x v="16"/>
    <x v="16"/>
    <x v="9"/>
    <x v="9"/>
    <x v="9"/>
    <x v="9"/>
    <x v="220"/>
    <x v="192"/>
    <x v="174"/>
    <x v="242"/>
    <x v="231"/>
    <x v="223"/>
    <x v="2"/>
  </r>
  <r>
    <x v="0"/>
    <x v="16"/>
    <x v="16"/>
    <x v="12"/>
    <x v="12"/>
    <x v="12"/>
    <x v="10"/>
    <x v="95"/>
    <x v="193"/>
    <x v="43"/>
    <x v="12"/>
    <x v="72"/>
    <x v="224"/>
    <x v="2"/>
  </r>
  <r>
    <x v="0"/>
    <x v="16"/>
    <x v="16"/>
    <x v="5"/>
    <x v="5"/>
    <x v="5"/>
    <x v="11"/>
    <x v="222"/>
    <x v="26"/>
    <x v="199"/>
    <x v="243"/>
    <x v="232"/>
    <x v="205"/>
    <x v="3"/>
  </r>
  <r>
    <x v="0"/>
    <x v="16"/>
    <x v="16"/>
    <x v="11"/>
    <x v="11"/>
    <x v="11"/>
    <x v="12"/>
    <x v="177"/>
    <x v="28"/>
    <x v="200"/>
    <x v="54"/>
    <x v="147"/>
    <x v="81"/>
    <x v="2"/>
  </r>
  <r>
    <x v="0"/>
    <x v="16"/>
    <x v="16"/>
    <x v="19"/>
    <x v="19"/>
    <x v="19"/>
    <x v="13"/>
    <x v="253"/>
    <x v="194"/>
    <x v="201"/>
    <x v="244"/>
    <x v="149"/>
    <x v="142"/>
    <x v="2"/>
  </r>
  <r>
    <x v="0"/>
    <x v="16"/>
    <x v="16"/>
    <x v="40"/>
    <x v="40"/>
    <x v="40"/>
    <x v="14"/>
    <x v="206"/>
    <x v="195"/>
    <x v="202"/>
    <x v="245"/>
    <x v="108"/>
    <x v="225"/>
    <x v="2"/>
  </r>
  <r>
    <x v="0"/>
    <x v="16"/>
    <x v="16"/>
    <x v="34"/>
    <x v="34"/>
    <x v="34"/>
    <x v="15"/>
    <x v="254"/>
    <x v="95"/>
    <x v="151"/>
    <x v="246"/>
    <x v="149"/>
    <x v="142"/>
    <x v="3"/>
  </r>
  <r>
    <x v="0"/>
    <x v="16"/>
    <x v="16"/>
    <x v="14"/>
    <x v="14"/>
    <x v="14"/>
    <x v="16"/>
    <x v="255"/>
    <x v="32"/>
    <x v="55"/>
    <x v="35"/>
    <x v="233"/>
    <x v="36"/>
    <x v="2"/>
  </r>
  <r>
    <x v="0"/>
    <x v="16"/>
    <x v="16"/>
    <x v="13"/>
    <x v="13"/>
    <x v="13"/>
    <x v="17"/>
    <x v="256"/>
    <x v="49"/>
    <x v="203"/>
    <x v="247"/>
    <x v="234"/>
    <x v="122"/>
    <x v="2"/>
  </r>
  <r>
    <x v="0"/>
    <x v="16"/>
    <x v="16"/>
    <x v="16"/>
    <x v="16"/>
    <x v="16"/>
    <x v="18"/>
    <x v="257"/>
    <x v="17"/>
    <x v="117"/>
    <x v="248"/>
    <x v="235"/>
    <x v="22"/>
    <x v="2"/>
  </r>
  <r>
    <x v="0"/>
    <x v="16"/>
    <x v="16"/>
    <x v="42"/>
    <x v="42"/>
    <x v="42"/>
    <x v="19"/>
    <x v="56"/>
    <x v="128"/>
    <x v="204"/>
    <x v="249"/>
    <x v="165"/>
    <x v="175"/>
    <x v="2"/>
  </r>
  <r>
    <x v="0"/>
    <x v="17"/>
    <x v="17"/>
    <x v="0"/>
    <x v="0"/>
    <x v="0"/>
    <x v="0"/>
    <x v="181"/>
    <x v="196"/>
    <x v="205"/>
    <x v="250"/>
    <x v="236"/>
    <x v="115"/>
    <x v="2"/>
  </r>
  <r>
    <x v="0"/>
    <x v="17"/>
    <x v="17"/>
    <x v="1"/>
    <x v="1"/>
    <x v="1"/>
    <x v="1"/>
    <x v="258"/>
    <x v="197"/>
    <x v="114"/>
    <x v="251"/>
    <x v="237"/>
    <x v="104"/>
    <x v="2"/>
  </r>
  <r>
    <x v="0"/>
    <x v="17"/>
    <x v="17"/>
    <x v="5"/>
    <x v="5"/>
    <x v="5"/>
    <x v="2"/>
    <x v="235"/>
    <x v="198"/>
    <x v="206"/>
    <x v="205"/>
    <x v="65"/>
    <x v="226"/>
    <x v="2"/>
  </r>
  <r>
    <x v="0"/>
    <x v="17"/>
    <x v="17"/>
    <x v="13"/>
    <x v="13"/>
    <x v="13"/>
    <x v="3"/>
    <x v="259"/>
    <x v="199"/>
    <x v="207"/>
    <x v="252"/>
    <x v="238"/>
    <x v="183"/>
    <x v="2"/>
  </r>
  <r>
    <x v="0"/>
    <x v="17"/>
    <x v="17"/>
    <x v="6"/>
    <x v="6"/>
    <x v="6"/>
    <x v="4"/>
    <x v="110"/>
    <x v="100"/>
    <x v="29"/>
    <x v="253"/>
    <x v="239"/>
    <x v="79"/>
    <x v="2"/>
  </r>
  <r>
    <x v="0"/>
    <x v="17"/>
    <x v="17"/>
    <x v="9"/>
    <x v="9"/>
    <x v="9"/>
    <x v="5"/>
    <x v="260"/>
    <x v="189"/>
    <x v="104"/>
    <x v="254"/>
    <x v="240"/>
    <x v="227"/>
    <x v="2"/>
  </r>
  <r>
    <x v="0"/>
    <x v="17"/>
    <x v="17"/>
    <x v="2"/>
    <x v="2"/>
    <x v="2"/>
    <x v="6"/>
    <x v="261"/>
    <x v="200"/>
    <x v="208"/>
    <x v="255"/>
    <x v="163"/>
    <x v="23"/>
    <x v="2"/>
  </r>
  <r>
    <x v="0"/>
    <x v="17"/>
    <x v="17"/>
    <x v="3"/>
    <x v="3"/>
    <x v="3"/>
    <x v="7"/>
    <x v="137"/>
    <x v="201"/>
    <x v="209"/>
    <x v="256"/>
    <x v="169"/>
    <x v="3"/>
    <x v="2"/>
  </r>
  <r>
    <x v="0"/>
    <x v="17"/>
    <x v="17"/>
    <x v="4"/>
    <x v="4"/>
    <x v="4"/>
    <x v="8"/>
    <x v="262"/>
    <x v="202"/>
    <x v="72"/>
    <x v="156"/>
    <x v="241"/>
    <x v="228"/>
    <x v="5"/>
  </r>
  <r>
    <x v="0"/>
    <x v="17"/>
    <x v="17"/>
    <x v="8"/>
    <x v="8"/>
    <x v="8"/>
    <x v="9"/>
    <x v="75"/>
    <x v="91"/>
    <x v="210"/>
    <x v="19"/>
    <x v="242"/>
    <x v="7"/>
    <x v="3"/>
  </r>
  <r>
    <x v="0"/>
    <x v="17"/>
    <x v="17"/>
    <x v="14"/>
    <x v="14"/>
    <x v="14"/>
    <x v="10"/>
    <x v="263"/>
    <x v="203"/>
    <x v="113"/>
    <x v="43"/>
    <x v="192"/>
    <x v="229"/>
    <x v="2"/>
  </r>
  <r>
    <x v="0"/>
    <x v="17"/>
    <x v="17"/>
    <x v="7"/>
    <x v="7"/>
    <x v="7"/>
    <x v="11"/>
    <x v="161"/>
    <x v="122"/>
    <x v="211"/>
    <x v="257"/>
    <x v="242"/>
    <x v="7"/>
    <x v="2"/>
  </r>
  <r>
    <x v="0"/>
    <x v="17"/>
    <x v="17"/>
    <x v="12"/>
    <x v="12"/>
    <x v="12"/>
    <x v="12"/>
    <x v="140"/>
    <x v="27"/>
    <x v="70"/>
    <x v="237"/>
    <x v="176"/>
    <x v="230"/>
    <x v="1"/>
  </r>
  <r>
    <x v="0"/>
    <x v="17"/>
    <x v="17"/>
    <x v="42"/>
    <x v="42"/>
    <x v="42"/>
    <x v="13"/>
    <x v="264"/>
    <x v="47"/>
    <x v="212"/>
    <x v="83"/>
    <x v="243"/>
    <x v="123"/>
    <x v="2"/>
  </r>
  <r>
    <x v="0"/>
    <x v="17"/>
    <x v="17"/>
    <x v="17"/>
    <x v="17"/>
    <x v="17"/>
    <x v="14"/>
    <x v="148"/>
    <x v="104"/>
    <x v="57"/>
    <x v="65"/>
    <x v="244"/>
    <x v="231"/>
    <x v="2"/>
  </r>
  <r>
    <x v="0"/>
    <x v="17"/>
    <x v="17"/>
    <x v="10"/>
    <x v="10"/>
    <x v="10"/>
    <x v="14"/>
    <x v="148"/>
    <x v="104"/>
    <x v="165"/>
    <x v="258"/>
    <x v="245"/>
    <x v="174"/>
    <x v="2"/>
  </r>
  <r>
    <x v="0"/>
    <x v="17"/>
    <x v="17"/>
    <x v="18"/>
    <x v="18"/>
    <x v="18"/>
    <x v="16"/>
    <x v="265"/>
    <x v="195"/>
    <x v="51"/>
    <x v="33"/>
    <x v="107"/>
    <x v="195"/>
    <x v="3"/>
  </r>
  <r>
    <x v="0"/>
    <x v="17"/>
    <x v="17"/>
    <x v="15"/>
    <x v="15"/>
    <x v="15"/>
    <x v="17"/>
    <x v="241"/>
    <x v="49"/>
    <x v="51"/>
    <x v="33"/>
    <x v="222"/>
    <x v="17"/>
    <x v="0"/>
  </r>
  <r>
    <x v="0"/>
    <x v="17"/>
    <x v="17"/>
    <x v="11"/>
    <x v="11"/>
    <x v="11"/>
    <x v="18"/>
    <x v="119"/>
    <x v="13"/>
    <x v="148"/>
    <x v="259"/>
    <x v="223"/>
    <x v="232"/>
    <x v="2"/>
  </r>
  <r>
    <x v="0"/>
    <x v="17"/>
    <x v="17"/>
    <x v="19"/>
    <x v="19"/>
    <x v="19"/>
    <x v="19"/>
    <x v="186"/>
    <x v="34"/>
    <x v="148"/>
    <x v="259"/>
    <x v="246"/>
    <x v="57"/>
    <x v="2"/>
  </r>
  <r>
    <x v="0"/>
    <x v="18"/>
    <x v="18"/>
    <x v="0"/>
    <x v="0"/>
    <x v="0"/>
    <x v="0"/>
    <x v="81"/>
    <x v="204"/>
    <x v="213"/>
    <x v="260"/>
    <x v="247"/>
    <x v="233"/>
    <x v="2"/>
  </r>
  <r>
    <x v="0"/>
    <x v="18"/>
    <x v="18"/>
    <x v="2"/>
    <x v="2"/>
    <x v="2"/>
    <x v="1"/>
    <x v="221"/>
    <x v="205"/>
    <x v="214"/>
    <x v="261"/>
    <x v="248"/>
    <x v="52"/>
    <x v="2"/>
  </r>
  <r>
    <x v="0"/>
    <x v="18"/>
    <x v="18"/>
    <x v="1"/>
    <x v="1"/>
    <x v="1"/>
    <x v="2"/>
    <x v="266"/>
    <x v="206"/>
    <x v="215"/>
    <x v="262"/>
    <x v="249"/>
    <x v="7"/>
    <x v="2"/>
  </r>
  <r>
    <x v="0"/>
    <x v="18"/>
    <x v="18"/>
    <x v="3"/>
    <x v="3"/>
    <x v="3"/>
    <x v="3"/>
    <x v="222"/>
    <x v="73"/>
    <x v="216"/>
    <x v="263"/>
    <x v="250"/>
    <x v="234"/>
    <x v="2"/>
  </r>
  <r>
    <x v="0"/>
    <x v="18"/>
    <x v="18"/>
    <x v="6"/>
    <x v="6"/>
    <x v="6"/>
    <x v="4"/>
    <x v="142"/>
    <x v="207"/>
    <x v="165"/>
    <x v="264"/>
    <x v="251"/>
    <x v="79"/>
    <x v="2"/>
  </r>
  <r>
    <x v="0"/>
    <x v="18"/>
    <x v="18"/>
    <x v="4"/>
    <x v="4"/>
    <x v="4"/>
    <x v="5"/>
    <x v="162"/>
    <x v="60"/>
    <x v="69"/>
    <x v="48"/>
    <x v="252"/>
    <x v="235"/>
    <x v="3"/>
  </r>
  <r>
    <x v="0"/>
    <x v="18"/>
    <x v="18"/>
    <x v="11"/>
    <x v="11"/>
    <x v="11"/>
    <x v="6"/>
    <x v="150"/>
    <x v="208"/>
    <x v="217"/>
    <x v="265"/>
    <x v="225"/>
    <x v="65"/>
    <x v="2"/>
  </r>
  <r>
    <x v="0"/>
    <x v="18"/>
    <x v="18"/>
    <x v="16"/>
    <x v="16"/>
    <x v="16"/>
    <x v="7"/>
    <x v="118"/>
    <x v="175"/>
    <x v="133"/>
    <x v="266"/>
    <x v="135"/>
    <x v="145"/>
    <x v="2"/>
  </r>
  <r>
    <x v="0"/>
    <x v="18"/>
    <x v="18"/>
    <x v="7"/>
    <x v="7"/>
    <x v="7"/>
    <x v="8"/>
    <x v="189"/>
    <x v="94"/>
    <x v="218"/>
    <x v="267"/>
    <x v="90"/>
    <x v="236"/>
    <x v="2"/>
  </r>
  <r>
    <x v="0"/>
    <x v="18"/>
    <x v="18"/>
    <x v="9"/>
    <x v="9"/>
    <x v="9"/>
    <x v="9"/>
    <x v="126"/>
    <x v="10"/>
    <x v="139"/>
    <x v="61"/>
    <x v="171"/>
    <x v="207"/>
    <x v="2"/>
  </r>
  <r>
    <x v="0"/>
    <x v="18"/>
    <x v="18"/>
    <x v="8"/>
    <x v="8"/>
    <x v="8"/>
    <x v="9"/>
    <x v="126"/>
    <x v="10"/>
    <x v="101"/>
    <x v="268"/>
    <x v="251"/>
    <x v="79"/>
    <x v="3"/>
  </r>
  <r>
    <x v="0"/>
    <x v="18"/>
    <x v="18"/>
    <x v="10"/>
    <x v="10"/>
    <x v="10"/>
    <x v="11"/>
    <x v="128"/>
    <x v="11"/>
    <x v="219"/>
    <x v="269"/>
    <x v="253"/>
    <x v="237"/>
    <x v="2"/>
  </r>
  <r>
    <x v="0"/>
    <x v="18"/>
    <x v="18"/>
    <x v="19"/>
    <x v="19"/>
    <x v="19"/>
    <x v="12"/>
    <x v="171"/>
    <x v="29"/>
    <x v="66"/>
    <x v="270"/>
    <x v="130"/>
    <x v="113"/>
    <x v="2"/>
  </r>
  <r>
    <x v="0"/>
    <x v="18"/>
    <x v="18"/>
    <x v="5"/>
    <x v="5"/>
    <x v="5"/>
    <x v="13"/>
    <x v="267"/>
    <x v="79"/>
    <x v="52"/>
    <x v="271"/>
    <x v="106"/>
    <x v="48"/>
    <x v="2"/>
  </r>
  <r>
    <x v="0"/>
    <x v="18"/>
    <x v="18"/>
    <x v="40"/>
    <x v="40"/>
    <x v="40"/>
    <x v="14"/>
    <x v="154"/>
    <x v="194"/>
    <x v="220"/>
    <x v="272"/>
    <x v="254"/>
    <x v="177"/>
    <x v="2"/>
  </r>
  <r>
    <x v="0"/>
    <x v="18"/>
    <x v="18"/>
    <x v="14"/>
    <x v="14"/>
    <x v="14"/>
    <x v="15"/>
    <x v="268"/>
    <x v="108"/>
    <x v="140"/>
    <x v="273"/>
    <x v="173"/>
    <x v="238"/>
    <x v="2"/>
  </r>
  <r>
    <x v="0"/>
    <x v="18"/>
    <x v="18"/>
    <x v="36"/>
    <x v="36"/>
    <x v="36"/>
    <x v="16"/>
    <x v="269"/>
    <x v="34"/>
    <x v="94"/>
    <x v="274"/>
    <x v="182"/>
    <x v="217"/>
    <x v="2"/>
  </r>
  <r>
    <x v="0"/>
    <x v="18"/>
    <x v="18"/>
    <x v="41"/>
    <x v="41"/>
    <x v="41"/>
    <x v="17"/>
    <x v="270"/>
    <x v="116"/>
    <x v="212"/>
    <x v="275"/>
    <x v="169"/>
    <x v="239"/>
    <x v="3"/>
  </r>
  <r>
    <x v="0"/>
    <x v="18"/>
    <x v="18"/>
    <x v="43"/>
    <x v="43"/>
    <x v="43"/>
    <x v="18"/>
    <x v="271"/>
    <x v="128"/>
    <x v="70"/>
    <x v="95"/>
    <x v="170"/>
    <x v="50"/>
    <x v="2"/>
  </r>
  <r>
    <x v="0"/>
    <x v="18"/>
    <x v="18"/>
    <x v="20"/>
    <x v="20"/>
    <x v="20"/>
    <x v="19"/>
    <x v="272"/>
    <x v="209"/>
    <x v="69"/>
    <x v="48"/>
    <x v="255"/>
    <x v="240"/>
    <x v="2"/>
  </r>
  <r>
    <x v="0"/>
    <x v="18"/>
    <x v="18"/>
    <x v="47"/>
    <x v="47"/>
    <x v="47"/>
    <x v="19"/>
    <x v="272"/>
    <x v="209"/>
    <x v="221"/>
    <x v="276"/>
    <x v="149"/>
    <x v="241"/>
    <x v="2"/>
  </r>
  <r>
    <x v="0"/>
    <x v="19"/>
    <x v="19"/>
    <x v="0"/>
    <x v="0"/>
    <x v="0"/>
    <x v="0"/>
    <x v="273"/>
    <x v="210"/>
    <x v="203"/>
    <x v="277"/>
    <x v="177"/>
    <x v="242"/>
    <x v="3"/>
  </r>
  <r>
    <x v="0"/>
    <x v="19"/>
    <x v="19"/>
    <x v="1"/>
    <x v="1"/>
    <x v="1"/>
    <x v="1"/>
    <x v="274"/>
    <x v="133"/>
    <x v="222"/>
    <x v="278"/>
    <x v="120"/>
    <x v="30"/>
    <x v="2"/>
  </r>
  <r>
    <x v="0"/>
    <x v="19"/>
    <x v="19"/>
    <x v="2"/>
    <x v="2"/>
    <x v="2"/>
    <x v="2"/>
    <x v="275"/>
    <x v="211"/>
    <x v="223"/>
    <x v="68"/>
    <x v="97"/>
    <x v="243"/>
    <x v="2"/>
  </r>
  <r>
    <x v="0"/>
    <x v="19"/>
    <x v="19"/>
    <x v="3"/>
    <x v="3"/>
    <x v="3"/>
    <x v="3"/>
    <x v="185"/>
    <x v="21"/>
    <x v="153"/>
    <x v="279"/>
    <x v="122"/>
    <x v="98"/>
    <x v="2"/>
  </r>
  <r>
    <x v="0"/>
    <x v="19"/>
    <x v="19"/>
    <x v="24"/>
    <x v="24"/>
    <x v="24"/>
    <x v="4"/>
    <x v="124"/>
    <x v="62"/>
    <x v="104"/>
    <x v="280"/>
    <x v="148"/>
    <x v="244"/>
    <x v="2"/>
  </r>
  <r>
    <x v="0"/>
    <x v="19"/>
    <x v="19"/>
    <x v="11"/>
    <x v="11"/>
    <x v="11"/>
    <x v="5"/>
    <x v="268"/>
    <x v="78"/>
    <x v="102"/>
    <x v="113"/>
    <x v="253"/>
    <x v="89"/>
    <x v="2"/>
  </r>
  <r>
    <x v="0"/>
    <x v="19"/>
    <x v="19"/>
    <x v="7"/>
    <x v="7"/>
    <x v="7"/>
    <x v="6"/>
    <x v="276"/>
    <x v="212"/>
    <x v="74"/>
    <x v="225"/>
    <x v="120"/>
    <x v="30"/>
    <x v="2"/>
  </r>
  <r>
    <x v="0"/>
    <x v="19"/>
    <x v="19"/>
    <x v="16"/>
    <x v="16"/>
    <x v="16"/>
    <x v="7"/>
    <x v="269"/>
    <x v="166"/>
    <x v="224"/>
    <x v="266"/>
    <x v="120"/>
    <x v="30"/>
    <x v="2"/>
  </r>
  <r>
    <x v="0"/>
    <x v="19"/>
    <x v="19"/>
    <x v="6"/>
    <x v="6"/>
    <x v="6"/>
    <x v="8"/>
    <x v="277"/>
    <x v="213"/>
    <x v="225"/>
    <x v="144"/>
    <x v="179"/>
    <x v="23"/>
    <x v="2"/>
  </r>
  <r>
    <x v="0"/>
    <x v="19"/>
    <x v="19"/>
    <x v="47"/>
    <x v="47"/>
    <x v="47"/>
    <x v="9"/>
    <x v="278"/>
    <x v="36"/>
    <x v="149"/>
    <x v="281"/>
    <x v="147"/>
    <x v="95"/>
    <x v="2"/>
  </r>
  <r>
    <x v="0"/>
    <x v="19"/>
    <x v="19"/>
    <x v="8"/>
    <x v="8"/>
    <x v="8"/>
    <x v="9"/>
    <x v="278"/>
    <x v="36"/>
    <x v="226"/>
    <x v="282"/>
    <x v="203"/>
    <x v="245"/>
    <x v="3"/>
  </r>
  <r>
    <x v="0"/>
    <x v="19"/>
    <x v="19"/>
    <x v="4"/>
    <x v="4"/>
    <x v="4"/>
    <x v="11"/>
    <x v="279"/>
    <x v="184"/>
    <x v="53"/>
    <x v="93"/>
    <x v="183"/>
    <x v="172"/>
    <x v="2"/>
  </r>
  <r>
    <x v="0"/>
    <x v="19"/>
    <x v="19"/>
    <x v="9"/>
    <x v="9"/>
    <x v="9"/>
    <x v="12"/>
    <x v="280"/>
    <x v="126"/>
    <x v="43"/>
    <x v="283"/>
    <x v="256"/>
    <x v="240"/>
    <x v="2"/>
  </r>
  <r>
    <x v="0"/>
    <x v="19"/>
    <x v="19"/>
    <x v="20"/>
    <x v="20"/>
    <x v="20"/>
    <x v="13"/>
    <x v="281"/>
    <x v="139"/>
    <x v="69"/>
    <x v="132"/>
    <x v="146"/>
    <x v="146"/>
    <x v="2"/>
  </r>
  <r>
    <x v="0"/>
    <x v="19"/>
    <x v="19"/>
    <x v="40"/>
    <x v="40"/>
    <x v="40"/>
    <x v="14"/>
    <x v="282"/>
    <x v="148"/>
    <x v="37"/>
    <x v="284"/>
    <x v="122"/>
    <x v="98"/>
    <x v="2"/>
  </r>
  <r>
    <x v="0"/>
    <x v="19"/>
    <x v="19"/>
    <x v="36"/>
    <x v="36"/>
    <x v="36"/>
    <x v="15"/>
    <x v="283"/>
    <x v="141"/>
    <x v="94"/>
    <x v="285"/>
    <x v="138"/>
    <x v="82"/>
    <x v="2"/>
  </r>
  <r>
    <x v="0"/>
    <x v="19"/>
    <x v="19"/>
    <x v="39"/>
    <x v="39"/>
    <x v="39"/>
    <x v="16"/>
    <x v="284"/>
    <x v="214"/>
    <x v="51"/>
    <x v="74"/>
    <x v="254"/>
    <x v="139"/>
    <x v="2"/>
  </r>
  <r>
    <x v="0"/>
    <x v="19"/>
    <x v="19"/>
    <x v="5"/>
    <x v="5"/>
    <x v="5"/>
    <x v="16"/>
    <x v="284"/>
    <x v="214"/>
    <x v="43"/>
    <x v="283"/>
    <x v="135"/>
    <x v="128"/>
    <x v="2"/>
  </r>
  <r>
    <x v="0"/>
    <x v="19"/>
    <x v="19"/>
    <x v="48"/>
    <x v="48"/>
    <x v="48"/>
    <x v="18"/>
    <x v="285"/>
    <x v="51"/>
    <x v="227"/>
    <x v="286"/>
    <x v="147"/>
    <x v="95"/>
    <x v="2"/>
  </r>
  <r>
    <x v="0"/>
    <x v="19"/>
    <x v="19"/>
    <x v="41"/>
    <x v="41"/>
    <x v="41"/>
    <x v="19"/>
    <x v="286"/>
    <x v="52"/>
    <x v="49"/>
    <x v="40"/>
    <x v="135"/>
    <x v="128"/>
    <x v="2"/>
  </r>
  <r>
    <x v="0"/>
    <x v="19"/>
    <x v="19"/>
    <x v="14"/>
    <x v="14"/>
    <x v="14"/>
    <x v="19"/>
    <x v="286"/>
    <x v="52"/>
    <x v="72"/>
    <x v="112"/>
    <x v="226"/>
    <x v="246"/>
    <x v="2"/>
  </r>
  <r>
    <x v="0"/>
    <x v="19"/>
    <x v="19"/>
    <x v="34"/>
    <x v="34"/>
    <x v="34"/>
    <x v="19"/>
    <x v="286"/>
    <x v="52"/>
    <x v="91"/>
    <x v="287"/>
    <x v="150"/>
    <x v="31"/>
    <x v="2"/>
  </r>
  <r>
    <x v="0"/>
    <x v="20"/>
    <x v="20"/>
    <x v="0"/>
    <x v="0"/>
    <x v="0"/>
    <x v="0"/>
    <x v="287"/>
    <x v="215"/>
    <x v="228"/>
    <x v="114"/>
    <x v="257"/>
    <x v="247"/>
    <x v="2"/>
  </r>
  <r>
    <x v="0"/>
    <x v="20"/>
    <x v="20"/>
    <x v="2"/>
    <x v="2"/>
    <x v="2"/>
    <x v="1"/>
    <x v="288"/>
    <x v="162"/>
    <x v="229"/>
    <x v="288"/>
    <x v="154"/>
    <x v="185"/>
    <x v="2"/>
  </r>
  <r>
    <x v="0"/>
    <x v="20"/>
    <x v="20"/>
    <x v="1"/>
    <x v="1"/>
    <x v="1"/>
    <x v="2"/>
    <x v="289"/>
    <x v="216"/>
    <x v="230"/>
    <x v="289"/>
    <x v="258"/>
    <x v="78"/>
    <x v="2"/>
  </r>
  <r>
    <x v="0"/>
    <x v="20"/>
    <x v="20"/>
    <x v="3"/>
    <x v="3"/>
    <x v="3"/>
    <x v="3"/>
    <x v="182"/>
    <x v="199"/>
    <x v="180"/>
    <x v="290"/>
    <x v="41"/>
    <x v="112"/>
    <x v="2"/>
  </r>
  <r>
    <x v="0"/>
    <x v="20"/>
    <x v="20"/>
    <x v="6"/>
    <x v="6"/>
    <x v="6"/>
    <x v="4"/>
    <x v="290"/>
    <x v="100"/>
    <x v="231"/>
    <x v="291"/>
    <x v="41"/>
    <x v="112"/>
    <x v="2"/>
  </r>
  <r>
    <x v="0"/>
    <x v="20"/>
    <x v="20"/>
    <x v="4"/>
    <x v="4"/>
    <x v="4"/>
    <x v="5"/>
    <x v="175"/>
    <x v="217"/>
    <x v="94"/>
    <x v="156"/>
    <x v="259"/>
    <x v="106"/>
    <x v="3"/>
  </r>
  <r>
    <x v="0"/>
    <x v="20"/>
    <x v="20"/>
    <x v="11"/>
    <x v="11"/>
    <x v="11"/>
    <x v="6"/>
    <x v="261"/>
    <x v="218"/>
    <x v="232"/>
    <x v="292"/>
    <x v="190"/>
    <x v="56"/>
    <x v="2"/>
  </r>
  <r>
    <x v="0"/>
    <x v="20"/>
    <x v="20"/>
    <x v="8"/>
    <x v="8"/>
    <x v="8"/>
    <x v="7"/>
    <x v="291"/>
    <x v="25"/>
    <x v="100"/>
    <x v="110"/>
    <x v="256"/>
    <x v="79"/>
    <x v="3"/>
  </r>
  <r>
    <x v="0"/>
    <x v="20"/>
    <x v="20"/>
    <x v="9"/>
    <x v="9"/>
    <x v="9"/>
    <x v="8"/>
    <x v="207"/>
    <x v="104"/>
    <x v="65"/>
    <x v="212"/>
    <x v="260"/>
    <x v="26"/>
    <x v="2"/>
  </r>
  <r>
    <x v="0"/>
    <x v="20"/>
    <x v="20"/>
    <x v="36"/>
    <x v="36"/>
    <x v="36"/>
    <x v="9"/>
    <x v="255"/>
    <x v="92"/>
    <x v="44"/>
    <x v="59"/>
    <x v="261"/>
    <x v="158"/>
    <x v="2"/>
  </r>
  <r>
    <x v="0"/>
    <x v="20"/>
    <x v="20"/>
    <x v="24"/>
    <x v="24"/>
    <x v="24"/>
    <x v="10"/>
    <x v="264"/>
    <x v="105"/>
    <x v="76"/>
    <x v="112"/>
    <x v="166"/>
    <x v="248"/>
    <x v="2"/>
  </r>
  <r>
    <x v="0"/>
    <x v="20"/>
    <x v="20"/>
    <x v="7"/>
    <x v="7"/>
    <x v="7"/>
    <x v="11"/>
    <x v="178"/>
    <x v="79"/>
    <x v="130"/>
    <x v="98"/>
    <x v="169"/>
    <x v="234"/>
    <x v="2"/>
  </r>
  <r>
    <x v="0"/>
    <x v="20"/>
    <x v="20"/>
    <x v="16"/>
    <x v="16"/>
    <x v="16"/>
    <x v="12"/>
    <x v="292"/>
    <x v="95"/>
    <x v="182"/>
    <x v="293"/>
    <x v="146"/>
    <x v="3"/>
    <x v="2"/>
  </r>
  <r>
    <x v="0"/>
    <x v="20"/>
    <x v="20"/>
    <x v="40"/>
    <x v="40"/>
    <x v="40"/>
    <x v="13"/>
    <x v="144"/>
    <x v="108"/>
    <x v="81"/>
    <x v="294"/>
    <x v="154"/>
    <x v="185"/>
    <x v="2"/>
  </r>
  <r>
    <x v="0"/>
    <x v="20"/>
    <x v="20"/>
    <x v="5"/>
    <x v="5"/>
    <x v="5"/>
    <x v="14"/>
    <x v="265"/>
    <x v="49"/>
    <x v="46"/>
    <x v="295"/>
    <x v="262"/>
    <x v="249"/>
    <x v="2"/>
  </r>
  <r>
    <x v="0"/>
    <x v="20"/>
    <x v="20"/>
    <x v="19"/>
    <x v="19"/>
    <x v="19"/>
    <x v="15"/>
    <x v="145"/>
    <x v="33"/>
    <x v="119"/>
    <x v="296"/>
    <x v="263"/>
    <x v="89"/>
    <x v="2"/>
  </r>
  <r>
    <x v="0"/>
    <x v="20"/>
    <x v="20"/>
    <x v="39"/>
    <x v="39"/>
    <x v="39"/>
    <x v="16"/>
    <x v="56"/>
    <x v="13"/>
    <x v="174"/>
    <x v="243"/>
    <x v="198"/>
    <x v="250"/>
    <x v="2"/>
  </r>
  <r>
    <x v="0"/>
    <x v="20"/>
    <x v="20"/>
    <x v="43"/>
    <x v="43"/>
    <x v="43"/>
    <x v="17"/>
    <x v="293"/>
    <x v="138"/>
    <x v="49"/>
    <x v="4"/>
    <x v="156"/>
    <x v="60"/>
    <x v="2"/>
  </r>
  <r>
    <x v="0"/>
    <x v="20"/>
    <x v="20"/>
    <x v="49"/>
    <x v="49"/>
    <x v="49"/>
    <x v="18"/>
    <x v="118"/>
    <x v="50"/>
    <x v="63"/>
    <x v="46"/>
    <x v="134"/>
    <x v="17"/>
    <x v="2"/>
  </r>
  <r>
    <x v="0"/>
    <x v="20"/>
    <x v="20"/>
    <x v="41"/>
    <x v="41"/>
    <x v="41"/>
    <x v="19"/>
    <x v="294"/>
    <x v="126"/>
    <x v="174"/>
    <x v="243"/>
    <x v="264"/>
    <x v="150"/>
    <x v="2"/>
  </r>
  <r>
    <x v="0"/>
    <x v="21"/>
    <x v="21"/>
    <x v="0"/>
    <x v="0"/>
    <x v="0"/>
    <x v="0"/>
    <x v="295"/>
    <x v="219"/>
    <x v="99"/>
    <x v="1"/>
    <x v="265"/>
    <x v="251"/>
    <x v="2"/>
  </r>
  <r>
    <x v="0"/>
    <x v="21"/>
    <x v="21"/>
    <x v="2"/>
    <x v="2"/>
    <x v="2"/>
    <x v="1"/>
    <x v="296"/>
    <x v="220"/>
    <x v="233"/>
    <x v="297"/>
    <x v="266"/>
    <x v="47"/>
    <x v="2"/>
  </r>
  <r>
    <x v="0"/>
    <x v="21"/>
    <x v="21"/>
    <x v="4"/>
    <x v="4"/>
    <x v="4"/>
    <x v="2"/>
    <x v="43"/>
    <x v="205"/>
    <x v="63"/>
    <x v="90"/>
    <x v="267"/>
    <x v="252"/>
    <x v="2"/>
  </r>
  <r>
    <x v="0"/>
    <x v="21"/>
    <x v="21"/>
    <x v="6"/>
    <x v="6"/>
    <x v="6"/>
    <x v="3"/>
    <x v="297"/>
    <x v="221"/>
    <x v="234"/>
    <x v="298"/>
    <x v="183"/>
    <x v="253"/>
    <x v="2"/>
  </r>
  <r>
    <x v="0"/>
    <x v="21"/>
    <x v="21"/>
    <x v="8"/>
    <x v="8"/>
    <x v="8"/>
    <x v="4"/>
    <x v="233"/>
    <x v="190"/>
    <x v="163"/>
    <x v="256"/>
    <x v="201"/>
    <x v="100"/>
    <x v="3"/>
  </r>
  <r>
    <x v="0"/>
    <x v="21"/>
    <x v="21"/>
    <x v="1"/>
    <x v="1"/>
    <x v="1"/>
    <x v="5"/>
    <x v="298"/>
    <x v="101"/>
    <x v="235"/>
    <x v="299"/>
    <x v="165"/>
    <x v="134"/>
    <x v="2"/>
  </r>
  <r>
    <x v="0"/>
    <x v="21"/>
    <x v="21"/>
    <x v="43"/>
    <x v="43"/>
    <x v="43"/>
    <x v="6"/>
    <x v="199"/>
    <x v="165"/>
    <x v="152"/>
    <x v="112"/>
    <x v="268"/>
    <x v="254"/>
    <x v="2"/>
  </r>
  <r>
    <x v="0"/>
    <x v="21"/>
    <x v="21"/>
    <x v="11"/>
    <x v="11"/>
    <x v="11"/>
    <x v="7"/>
    <x v="237"/>
    <x v="173"/>
    <x v="184"/>
    <x v="149"/>
    <x v="147"/>
    <x v="73"/>
    <x v="2"/>
  </r>
  <r>
    <x v="0"/>
    <x v="21"/>
    <x v="21"/>
    <x v="3"/>
    <x v="3"/>
    <x v="3"/>
    <x v="8"/>
    <x v="299"/>
    <x v="174"/>
    <x v="38"/>
    <x v="300"/>
    <x v="41"/>
    <x v="255"/>
    <x v="2"/>
  </r>
  <r>
    <x v="0"/>
    <x v="21"/>
    <x v="21"/>
    <x v="36"/>
    <x v="36"/>
    <x v="36"/>
    <x v="9"/>
    <x v="300"/>
    <x v="103"/>
    <x v="174"/>
    <x v="285"/>
    <x v="269"/>
    <x v="231"/>
    <x v="2"/>
  </r>
  <r>
    <x v="0"/>
    <x v="21"/>
    <x v="21"/>
    <x v="9"/>
    <x v="9"/>
    <x v="9"/>
    <x v="10"/>
    <x v="301"/>
    <x v="28"/>
    <x v="152"/>
    <x v="112"/>
    <x v="195"/>
    <x v="256"/>
    <x v="2"/>
  </r>
  <r>
    <x v="0"/>
    <x v="21"/>
    <x v="21"/>
    <x v="45"/>
    <x v="45"/>
    <x v="45"/>
    <x v="11"/>
    <x v="177"/>
    <x v="105"/>
    <x v="52"/>
    <x v="274"/>
    <x v="54"/>
    <x v="257"/>
    <x v="2"/>
  </r>
  <r>
    <x v="0"/>
    <x v="21"/>
    <x v="21"/>
    <x v="40"/>
    <x v="40"/>
    <x v="40"/>
    <x v="12"/>
    <x v="115"/>
    <x v="29"/>
    <x v="18"/>
    <x v="301"/>
    <x v="143"/>
    <x v="258"/>
    <x v="2"/>
  </r>
  <r>
    <x v="0"/>
    <x v="21"/>
    <x v="21"/>
    <x v="50"/>
    <x v="50"/>
    <x v="50"/>
    <x v="13"/>
    <x v="302"/>
    <x v="106"/>
    <x v="214"/>
    <x v="302"/>
    <x v="115"/>
    <x v="122"/>
    <x v="2"/>
  </r>
  <r>
    <x v="0"/>
    <x v="21"/>
    <x v="21"/>
    <x v="5"/>
    <x v="5"/>
    <x v="5"/>
    <x v="14"/>
    <x v="75"/>
    <x v="106"/>
    <x v="189"/>
    <x v="120"/>
    <x v="113"/>
    <x v="259"/>
    <x v="2"/>
  </r>
  <r>
    <x v="0"/>
    <x v="21"/>
    <x v="21"/>
    <x v="49"/>
    <x v="49"/>
    <x v="49"/>
    <x v="15"/>
    <x v="53"/>
    <x v="194"/>
    <x v="44"/>
    <x v="233"/>
    <x v="199"/>
    <x v="63"/>
    <x v="2"/>
  </r>
  <r>
    <x v="0"/>
    <x v="21"/>
    <x v="21"/>
    <x v="19"/>
    <x v="19"/>
    <x v="19"/>
    <x v="16"/>
    <x v="303"/>
    <x v="107"/>
    <x v="236"/>
    <x v="303"/>
    <x v="238"/>
    <x v="160"/>
    <x v="2"/>
  </r>
  <r>
    <x v="0"/>
    <x v="21"/>
    <x v="21"/>
    <x v="39"/>
    <x v="39"/>
    <x v="39"/>
    <x v="17"/>
    <x v="161"/>
    <x v="125"/>
    <x v="98"/>
    <x v="182"/>
    <x v="133"/>
    <x v="197"/>
    <x v="2"/>
  </r>
  <r>
    <x v="0"/>
    <x v="21"/>
    <x v="21"/>
    <x v="12"/>
    <x v="12"/>
    <x v="12"/>
    <x v="18"/>
    <x v="55"/>
    <x v="222"/>
    <x v="54"/>
    <x v="93"/>
    <x v="270"/>
    <x v="117"/>
    <x v="2"/>
  </r>
  <r>
    <x v="0"/>
    <x v="21"/>
    <x v="21"/>
    <x v="7"/>
    <x v="7"/>
    <x v="7"/>
    <x v="19"/>
    <x v="304"/>
    <x v="222"/>
    <x v="111"/>
    <x v="304"/>
    <x v="220"/>
    <x v="129"/>
    <x v="2"/>
  </r>
  <r>
    <x v="0"/>
    <x v="22"/>
    <x v="22"/>
    <x v="0"/>
    <x v="0"/>
    <x v="0"/>
    <x v="0"/>
    <x v="305"/>
    <x v="223"/>
    <x v="237"/>
    <x v="305"/>
    <x v="271"/>
    <x v="114"/>
    <x v="2"/>
  </r>
  <r>
    <x v="0"/>
    <x v="22"/>
    <x v="22"/>
    <x v="2"/>
    <x v="2"/>
    <x v="2"/>
    <x v="1"/>
    <x v="306"/>
    <x v="224"/>
    <x v="238"/>
    <x v="306"/>
    <x v="272"/>
    <x v="260"/>
    <x v="2"/>
  </r>
  <r>
    <x v="0"/>
    <x v="22"/>
    <x v="22"/>
    <x v="3"/>
    <x v="3"/>
    <x v="3"/>
    <x v="2"/>
    <x v="307"/>
    <x v="199"/>
    <x v="239"/>
    <x v="307"/>
    <x v="90"/>
    <x v="261"/>
    <x v="2"/>
  </r>
  <r>
    <x v="0"/>
    <x v="22"/>
    <x v="22"/>
    <x v="50"/>
    <x v="50"/>
    <x v="50"/>
    <x v="3"/>
    <x v="46"/>
    <x v="59"/>
    <x v="240"/>
    <x v="308"/>
    <x v="234"/>
    <x v="262"/>
    <x v="2"/>
  </r>
  <r>
    <x v="0"/>
    <x v="22"/>
    <x v="22"/>
    <x v="1"/>
    <x v="1"/>
    <x v="1"/>
    <x v="4"/>
    <x v="308"/>
    <x v="22"/>
    <x v="241"/>
    <x v="84"/>
    <x v="273"/>
    <x v="180"/>
    <x v="3"/>
  </r>
  <r>
    <x v="0"/>
    <x v="22"/>
    <x v="22"/>
    <x v="11"/>
    <x v="11"/>
    <x v="11"/>
    <x v="5"/>
    <x v="249"/>
    <x v="24"/>
    <x v="242"/>
    <x v="309"/>
    <x v="120"/>
    <x v="65"/>
    <x v="2"/>
  </r>
  <r>
    <x v="0"/>
    <x v="22"/>
    <x v="22"/>
    <x v="6"/>
    <x v="6"/>
    <x v="6"/>
    <x v="6"/>
    <x v="199"/>
    <x v="212"/>
    <x v="232"/>
    <x v="310"/>
    <x v="248"/>
    <x v="263"/>
    <x v="2"/>
  </r>
  <r>
    <x v="0"/>
    <x v="22"/>
    <x v="22"/>
    <x v="4"/>
    <x v="4"/>
    <x v="4"/>
    <x v="7"/>
    <x v="92"/>
    <x v="9"/>
    <x v="140"/>
    <x v="151"/>
    <x v="188"/>
    <x v="70"/>
    <x v="2"/>
  </r>
  <r>
    <x v="0"/>
    <x v="22"/>
    <x v="22"/>
    <x v="43"/>
    <x v="43"/>
    <x v="43"/>
    <x v="8"/>
    <x v="252"/>
    <x v="64"/>
    <x v="155"/>
    <x v="311"/>
    <x v="274"/>
    <x v="109"/>
    <x v="2"/>
  </r>
  <r>
    <x v="0"/>
    <x v="22"/>
    <x v="22"/>
    <x v="39"/>
    <x v="39"/>
    <x v="39"/>
    <x v="9"/>
    <x v="49"/>
    <x v="114"/>
    <x v="127"/>
    <x v="312"/>
    <x v="195"/>
    <x v="46"/>
    <x v="2"/>
  </r>
  <r>
    <x v="0"/>
    <x v="22"/>
    <x v="22"/>
    <x v="36"/>
    <x v="36"/>
    <x v="36"/>
    <x v="10"/>
    <x v="222"/>
    <x v="29"/>
    <x v="243"/>
    <x v="81"/>
    <x v="74"/>
    <x v="264"/>
    <x v="3"/>
  </r>
  <r>
    <x v="0"/>
    <x v="22"/>
    <x v="22"/>
    <x v="7"/>
    <x v="7"/>
    <x v="7"/>
    <x v="11"/>
    <x v="137"/>
    <x v="183"/>
    <x v="244"/>
    <x v="313"/>
    <x v="137"/>
    <x v="124"/>
    <x v="2"/>
  </r>
  <r>
    <x v="0"/>
    <x v="22"/>
    <x v="22"/>
    <x v="16"/>
    <x v="16"/>
    <x v="16"/>
    <x v="12"/>
    <x v="52"/>
    <x v="95"/>
    <x v="147"/>
    <x v="314"/>
    <x v="275"/>
    <x v="112"/>
    <x v="2"/>
  </r>
  <r>
    <x v="0"/>
    <x v="22"/>
    <x v="22"/>
    <x v="5"/>
    <x v="5"/>
    <x v="5"/>
    <x v="13"/>
    <x v="309"/>
    <x v="32"/>
    <x v="37"/>
    <x v="191"/>
    <x v="276"/>
    <x v="60"/>
    <x v="2"/>
  </r>
  <r>
    <x v="0"/>
    <x v="22"/>
    <x v="22"/>
    <x v="51"/>
    <x v="51"/>
    <x v="51"/>
    <x v="14"/>
    <x v="310"/>
    <x v="12"/>
    <x v="46"/>
    <x v="315"/>
    <x v="277"/>
    <x v="172"/>
    <x v="2"/>
  </r>
  <r>
    <x v="0"/>
    <x v="22"/>
    <x v="22"/>
    <x v="49"/>
    <x v="49"/>
    <x v="49"/>
    <x v="15"/>
    <x v="256"/>
    <x v="116"/>
    <x v="44"/>
    <x v="74"/>
    <x v="278"/>
    <x v="15"/>
    <x v="2"/>
  </r>
  <r>
    <x v="0"/>
    <x v="22"/>
    <x v="22"/>
    <x v="45"/>
    <x v="45"/>
    <x v="45"/>
    <x v="16"/>
    <x v="264"/>
    <x v="127"/>
    <x v="65"/>
    <x v="95"/>
    <x v="153"/>
    <x v="21"/>
    <x v="2"/>
  </r>
  <r>
    <x v="0"/>
    <x v="22"/>
    <x v="22"/>
    <x v="41"/>
    <x v="41"/>
    <x v="41"/>
    <x v="17"/>
    <x v="162"/>
    <x v="139"/>
    <x v="109"/>
    <x v="176"/>
    <x v="49"/>
    <x v="66"/>
    <x v="3"/>
  </r>
  <r>
    <x v="0"/>
    <x v="22"/>
    <x v="22"/>
    <x v="9"/>
    <x v="9"/>
    <x v="9"/>
    <x v="17"/>
    <x v="162"/>
    <x v="139"/>
    <x v="44"/>
    <x v="74"/>
    <x v="279"/>
    <x v="265"/>
    <x v="2"/>
  </r>
  <r>
    <x v="0"/>
    <x v="22"/>
    <x v="22"/>
    <x v="8"/>
    <x v="8"/>
    <x v="8"/>
    <x v="19"/>
    <x v="311"/>
    <x v="128"/>
    <x v="245"/>
    <x v="316"/>
    <x v="226"/>
    <x v="266"/>
    <x v="2"/>
  </r>
  <r>
    <x v="0"/>
    <x v="23"/>
    <x v="23"/>
    <x v="0"/>
    <x v="0"/>
    <x v="0"/>
    <x v="0"/>
    <x v="312"/>
    <x v="225"/>
    <x v="158"/>
    <x v="317"/>
    <x v="280"/>
    <x v="267"/>
    <x v="2"/>
  </r>
  <r>
    <x v="0"/>
    <x v="23"/>
    <x v="23"/>
    <x v="3"/>
    <x v="3"/>
    <x v="3"/>
    <x v="1"/>
    <x v="313"/>
    <x v="226"/>
    <x v="246"/>
    <x v="318"/>
    <x v="97"/>
    <x v="84"/>
    <x v="2"/>
  </r>
  <r>
    <x v="0"/>
    <x v="23"/>
    <x v="23"/>
    <x v="2"/>
    <x v="2"/>
    <x v="2"/>
    <x v="2"/>
    <x v="314"/>
    <x v="187"/>
    <x v="175"/>
    <x v="319"/>
    <x v="281"/>
    <x v="22"/>
    <x v="2"/>
  </r>
  <r>
    <x v="0"/>
    <x v="23"/>
    <x v="23"/>
    <x v="1"/>
    <x v="1"/>
    <x v="1"/>
    <x v="3"/>
    <x v="200"/>
    <x v="211"/>
    <x v="196"/>
    <x v="200"/>
    <x v="256"/>
    <x v="134"/>
    <x v="2"/>
  </r>
  <r>
    <x v="0"/>
    <x v="23"/>
    <x v="23"/>
    <x v="11"/>
    <x v="11"/>
    <x v="11"/>
    <x v="4"/>
    <x v="315"/>
    <x v="76"/>
    <x v="198"/>
    <x v="320"/>
    <x v="223"/>
    <x v="182"/>
    <x v="2"/>
  </r>
  <r>
    <x v="0"/>
    <x v="23"/>
    <x v="23"/>
    <x v="6"/>
    <x v="6"/>
    <x v="6"/>
    <x v="5"/>
    <x v="112"/>
    <x v="165"/>
    <x v="247"/>
    <x v="321"/>
    <x v="249"/>
    <x v="180"/>
    <x v="2"/>
  </r>
  <r>
    <x v="0"/>
    <x v="23"/>
    <x v="23"/>
    <x v="4"/>
    <x v="4"/>
    <x v="4"/>
    <x v="6"/>
    <x v="316"/>
    <x v="26"/>
    <x v="49"/>
    <x v="12"/>
    <x v="193"/>
    <x v="268"/>
    <x v="5"/>
  </r>
  <r>
    <x v="0"/>
    <x v="23"/>
    <x v="23"/>
    <x v="16"/>
    <x v="16"/>
    <x v="16"/>
    <x v="7"/>
    <x v="311"/>
    <x v="94"/>
    <x v="248"/>
    <x v="142"/>
    <x v="256"/>
    <x v="134"/>
    <x v="2"/>
  </r>
  <r>
    <x v="0"/>
    <x v="23"/>
    <x v="23"/>
    <x v="7"/>
    <x v="7"/>
    <x v="7"/>
    <x v="8"/>
    <x v="240"/>
    <x v="30"/>
    <x v="107"/>
    <x v="322"/>
    <x v="248"/>
    <x v="23"/>
    <x v="2"/>
  </r>
  <r>
    <x v="0"/>
    <x v="23"/>
    <x v="23"/>
    <x v="8"/>
    <x v="8"/>
    <x v="8"/>
    <x v="9"/>
    <x v="265"/>
    <x v="108"/>
    <x v="190"/>
    <x v="323"/>
    <x v="90"/>
    <x v="269"/>
    <x v="3"/>
  </r>
  <r>
    <x v="0"/>
    <x v="23"/>
    <x v="23"/>
    <x v="41"/>
    <x v="41"/>
    <x v="41"/>
    <x v="10"/>
    <x v="151"/>
    <x v="80"/>
    <x v="98"/>
    <x v="324"/>
    <x v="205"/>
    <x v="270"/>
    <x v="2"/>
  </r>
  <r>
    <x v="0"/>
    <x v="23"/>
    <x v="23"/>
    <x v="36"/>
    <x v="36"/>
    <x v="36"/>
    <x v="11"/>
    <x v="152"/>
    <x v="125"/>
    <x v="104"/>
    <x v="315"/>
    <x v="282"/>
    <x v="117"/>
    <x v="2"/>
  </r>
  <r>
    <x v="0"/>
    <x v="23"/>
    <x v="23"/>
    <x v="9"/>
    <x v="9"/>
    <x v="9"/>
    <x v="12"/>
    <x v="293"/>
    <x v="96"/>
    <x v="44"/>
    <x v="212"/>
    <x v="283"/>
    <x v="195"/>
    <x v="2"/>
  </r>
  <r>
    <x v="0"/>
    <x v="23"/>
    <x v="23"/>
    <x v="5"/>
    <x v="5"/>
    <x v="5"/>
    <x v="13"/>
    <x v="317"/>
    <x v="15"/>
    <x v="98"/>
    <x v="324"/>
    <x v="284"/>
    <x v="184"/>
    <x v="2"/>
  </r>
  <r>
    <x v="0"/>
    <x v="23"/>
    <x v="23"/>
    <x v="40"/>
    <x v="40"/>
    <x v="40"/>
    <x v="14"/>
    <x v="121"/>
    <x v="16"/>
    <x v="249"/>
    <x v="325"/>
    <x v="239"/>
    <x v="149"/>
    <x v="2"/>
  </r>
  <r>
    <x v="0"/>
    <x v="23"/>
    <x v="23"/>
    <x v="10"/>
    <x v="10"/>
    <x v="10"/>
    <x v="15"/>
    <x v="127"/>
    <x v="129"/>
    <x v="130"/>
    <x v="326"/>
    <x v="238"/>
    <x v="196"/>
    <x v="2"/>
  </r>
  <r>
    <x v="0"/>
    <x v="23"/>
    <x v="23"/>
    <x v="20"/>
    <x v="20"/>
    <x v="20"/>
    <x v="16"/>
    <x v="128"/>
    <x v="209"/>
    <x v="43"/>
    <x v="67"/>
    <x v="148"/>
    <x v="45"/>
    <x v="2"/>
  </r>
  <r>
    <x v="0"/>
    <x v="23"/>
    <x v="23"/>
    <x v="39"/>
    <x v="39"/>
    <x v="39"/>
    <x v="17"/>
    <x v="129"/>
    <x v="141"/>
    <x v="43"/>
    <x v="67"/>
    <x v="171"/>
    <x v="1"/>
    <x v="2"/>
  </r>
  <r>
    <x v="0"/>
    <x v="23"/>
    <x v="23"/>
    <x v="52"/>
    <x v="52"/>
    <x v="52"/>
    <x v="18"/>
    <x v="267"/>
    <x v="227"/>
    <x v="128"/>
    <x v="327"/>
    <x v="281"/>
    <x v="22"/>
    <x v="2"/>
  </r>
  <r>
    <x v="0"/>
    <x v="23"/>
    <x v="23"/>
    <x v="49"/>
    <x v="49"/>
    <x v="49"/>
    <x v="19"/>
    <x v="318"/>
    <x v="130"/>
    <x v="72"/>
    <x v="4"/>
    <x v="266"/>
    <x v="35"/>
    <x v="2"/>
  </r>
  <r>
    <x v="0"/>
    <x v="23"/>
    <x v="23"/>
    <x v="43"/>
    <x v="43"/>
    <x v="43"/>
    <x v="19"/>
    <x v="318"/>
    <x v="130"/>
    <x v="49"/>
    <x v="12"/>
    <x v="144"/>
    <x v="51"/>
    <x v="2"/>
  </r>
  <r>
    <x v="0"/>
    <x v="24"/>
    <x v="24"/>
    <x v="0"/>
    <x v="0"/>
    <x v="0"/>
    <x v="0"/>
    <x v="319"/>
    <x v="228"/>
    <x v="197"/>
    <x v="149"/>
    <x v="285"/>
    <x v="271"/>
    <x v="2"/>
  </r>
  <r>
    <x v="0"/>
    <x v="24"/>
    <x v="24"/>
    <x v="2"/>
    <x v="2"/>
    <x v="2"/>
    <x v="1"/>
    <x v="320"/>
    <x v="229"/>
    <x v="193"/>
    <x v="328"/>
    <x v="201"/>
    <x v="212"/>
    <x v="2"/>
  </r>
  <r>
    <x v="0"/>
    <x v="24"/>
    <x v="24"/>
    <x v="11"/>
    <x v="11"/>
    <x v="11"/>
    <x v="2"/>
    <x v="90"/>
    <x v="112"/>
    <x v="246"/>
    <x v="171"/>
    <x v="190"/>
    <x v="126"/>
    <x v="2"/>
  </r>
  <r>
    <x v="0"/>
    <x v="24"/>
    <x v="24"/>
    <x v="3"/>
    <x v="3"/>
    <x v="3"/>
    <x v="3"/>
    <x v="217"/>
    <x v="75"/>
    <x v="163"/>
    <x v="329"/>
    <x v="142"/>
    <x v="40"/>
    <x v="2"/>
  </r>
  <r>
    <x v="0"/>
    <x v="24"/>
    <x v="24"/>
    <x v="4"/>
    <x v="4"/>
    <x v="4"/>
    <x v="4"/>
    <x v="321"/>
    <x v="218"/>
    <x v="54"/>
    <x v="177"/>
    <x v="286"/>
    <x v="272"/>
    <x v="2"/>
  </r>
  <r>
    <x v="0"/>
    <x v="24"/>
    <x v="24"/>
    <x v="6"/>
    <x v="6"/>
    <x v="6"/>
    <x v="5"/>
    <x v="237"/>
    <x v="202"/>
    <x v="80"/>
    <x v="330"/>
    <x v="287"/>
    <x v="3"/>
    <x v="2"/>
  </r>
  <r>
    <x v="0"/>
    <x v="24"/>
    <x v="24"/>
    <x v="1"/>
    <x v="1"/>
    <x v="1"/>
    <x v="6"/>
    <x v="71"/>
    <x v="174"/>
    <x v="250"/>
    <x v="105"/>
    <x v="255"/>
    <x v="234"/>
    <x v="2"/>
  </r>
  <r>
    <x v="0"/>
    <x v="24"/>
    <x v="24"/>
    <x v="43"/>
    <x v="43"/>
    <x v="43"/>
    <x v="7"/>
    <x v="322"/>
    <x v="166"/>
    <x v="152"/>
    <x v="283"/>
    <x v="127"/>
    <x v="9"/>
    <x v="2"/>
  </r>
  <r>
    <x v="0"/>
    <x v="24"/>
    <x v="24"/>
    <x v="50"/>
    <x v="50"/>
    <x v="50"/>
    <x v="8"/>
    <x v="112"/>
    <x v="103"/>
    <x v="251"/>
    <x v="331"/>
    <x v="288"/>
    <x v="273"/>
    <x v="2"/>
  </r>
  <r>
    <x v="0"/>
    <x v="24"/>
    <x v="24"/>
    <x v="7"/>
    <x v="7"/>
    <x v="7"/>
    <x v="9"/>
    <x v="291"/>
    <x v="28"/>
    <x v="58"/>
    <x v="143"/>
    <x v="173"/>
    <x v="243"/>
    <x v="2"/>
  </r>
  <r>
    <x v="0"/>
    <x v="24"/>
    <x v="24"/>
    <x v="39"/>
    <x v="39"/>
    <x v="39"/>
    <x v="10"/>
    <x v="263"/>
    <x v="115"/>
    <x v="139"/>
    <x v="233"/>
    <x v="131"/>
    <x v="264"/>
    <x v="2"/>
  </r>
  <r>
    <x v="0"/>
    <x v="24"/>
    <x v="24"/>
    <x v="9"/>
    <x v="9"/>
    <x v="9"/>
    <x v="10"/>
    <x v="263"/>
    <x v="115"/>
    <x v="64"/>
    <x v="9"/>
    <x v="289"/>
    <x v="173"/>
    <x v="2"/>
  </r>
  <r>
    <x v="0"/>
    <x v="24"/>
    <x v="24"/>
    <x v="36"/>
    <x v="36"/>
    <x v="36"/>
    <x v="12"/>
    <x v="323"/>
    <x v="147"/>
    <x v="139"/>
    <x v="233"/>
    <x v="244"/>
    <x v="48"/>
    <x v="2"/>
  </r>
  <r>
    <x v="0"/>
    <x v="24"/>
    <x v="24"/>
    <x v="8"/>
    <x v="8"/>
    <x v="8"/>
    <x v="13"/>
    <x v="324"/>
    <x v="13"/>
    <x v="130"/>
    <x v="163"/>
    <x v="290"/>
    <x v="130"/>
    <x v="2"/>
  </r>
  <r>
    <x v="0"/>
    <x v="24"/>
    <x v="24"/>
    <x v="40"/>
    <x v="40"/>
    <x v="40"/>
    <x v="14"/>
    <x v="163"/>
    <x v="35"/>
    <x v="105"/>
    <x v="313"/>
    <x v="152"/>
    <x v="79"/>
    <x v="2"/>
  </r>
  <r>
    <x v="0"/>
    <x v="24"/>
    <x v="24"/>
    <x v="49"/>
    <x v="49"/>
    <x v="49"/>
    <x v="15"/>
    <x v="240"/>
    <x v="50"/>
    <x v="140"/>
    <x v="74"/>
    <x v="291"/>
    <x v="249"/>
    <x v="2"/>
  </r>
  <r>
    <x v="0"/>
    <x v="24"/>
    <x v="24"/>
    <x v="5"/>
    <x v="5"/>
    <x v="5"/>
    <x v="16"/>
    <x v="165"/>
    <x v="16"/>
    <x v="43"/>
    <x v="67"/>
    <x v="56"/>
    <x v="50"/>
    <x v="2"/>
  </r>
  <r>
    <x v="0"/>
    <x v="24"/>
    <x v="24"/>
    <x v="53"/>
    <x v="53"/>
    <x v="53"/>
    <x v="17"/>
    <x v="167"/>
    <x v="126"/>
    <x v="252"/>
    <x v="176"/>
    <x v="89"/>
    <x v="150"/>
    <x v="2"/>
  </r>
  <r>
    <x v="0"/>
    <x v="24"/>
    <x v="24"/>
    <x v="51"/>
    <x v="51"/>
    <x v="51"/>
    <x v="18"/>
    <x v="152"/>
    <x v="66"/>
    <x v="72"/>
    <x v="48"/>
    <x v="237"/>
    <x v="274"/>
    <x v="2"/>
  </r>
  <r>
    <x v="0"/>
    <x v="24"/>
    <x v="24"/>
    <x v="16"/>
    <x v="16"/>
    <x v="16"/>
    <x v="18"/>
    <x v="152"/>
    <x v="66"/>
    <x v="117"/>
    <x v="36"/>
    <x v="292"/>
    <x v="98"/>
    <x v="2"/>
  </r>
  <r>
    <x v="0"/>
    <x v="25"/>
    <x v="25"/>
    <x v="42"/>
    <x v="42"/>
    <x v="42"/>
    <x v="0"/>
    <x v="325"/>
    <x v="230"/>
    <x v="57"/>
    <x v="332"/>
    <x v="238"/>
    <x v="275"/>
    <x v="2"/>
  </r>
  <r>
    <x v="0"/>
    <x v="25"/>
    <x v="25"/>
    <x v="1"/>
    <x v="1"/>
    <x v="1"/>
    <x v="1"/>
    <x v="326"/>
    <x v="231"/>
    <x v="69"/>
    <x v="333"/>
    <x v="115"/>
    <x v="276"/>
    <x v="2"/>
  </r>
  <r>
    <x v="0"/>
    <x v="25"/>
    <x v="25"/>
    <x v="7"/>
    <x v="7"/>
    <x v="7"/>
    <x v="2"/>
    <x v="327"/>
    <x v="232"/>
    <x v="51"/>
    <x v="334"/>
    <x v="293"/>
    <x v="277"/>
    <x v="2"/>
  </r>
  <r>
    <x v="0"/>
    <x v="25"/>
    <x v="25"/>
    <x v="32"/>
    <x v="32"/>
    <x v="32"/>
    <x v="3"/>
    <x v="328"/>
    <x v="233"/>
    <x v="68"/>
    <x v="335"/>
    <x v="130"/>
    <x v="278"/>
    <x v="2"/>
  </r>
  <r>
    <x v="0"/>
    <x v="25"/>
    <x v="25"/>
    <x v="54"/>
    <x v="54"/>
    <x v="54"/>
    <x v="4"/>
    <x v="329"/>
    <x v="234"/>
    <x v="68"/>
    <x v="335"/>
    <x v="294"/>
    <x v="279"/>
    <x v="2"/>
  </r>
  <r>
    <x v="0"/>
    <x v="25"/>
    <x v="25"/>
    <x v="20"/>
    <x v="20"/>
    <x v="20"/>
    <x v="5"/>
    <x v="330"/>
    <x v="165"/>
    <x v="57"/>
    <x v="332"/>
    <x v="288"/>
    <x v="131"/>
    <x v="2"/>
  </r>
  <r>
    <x v="0"/>
    <x v="25"/>
    <x v="25"/>
    <x v="55"/>
    <x v="55"/>
    <x v="55"/>
    <x v="5"/>
    <x v="330"/>
    <x v="165"/>
    <x v="56"/>
    <x v="52"/>
    <x v="294"/>
    <x v="279"/>
    <x v="2"/>
  </r>
  <r>
    <x v="0"/>
    <x v="25"/>
    <x v="25"/>
    <x v="56"/>
    <x v="56"/>
    <x v="56"/>
    <x v="5"/>
    <x v="330"/>
    <x v="165"/>
    <x v="57"/>
    <x v="332"/>
    <x v="288"/>
    <x v="131"/>
    <x v="2"/>
  </r>
  <r>
    <x v="0"/>
    <x v="25"/>
    <x v="25"/>
    <x v="3"/>
    <x v="3"/>
    <x v="3"/>
    <x v="5"/>
    <x v="330"/>
    <x v="165"/>
    <x v="57"/>
    <x v="332"/>
    <x v="288"/>
    <x v="131"/>
    <x v="2"/>
  </r>
  <r>
    <x v="0"/>
    <x v="25"/>
    <x v="25"/>
    <x v="34"/>
    <x v="34"/>
    <x v="34"/>
    <x v="5"/>
    <x v="330"/>
    <x v="165"/>
    <x v="56"/>
    <x v="52"/>
    <x v="294"/>
    <x v="279"/>
    <x v="2"/>
  </r>
  <r>
    <x v="0"/>
    <x v="25"/>
    <x v="25"/>
    <x v="2"/>
    <x v="2"/>
    <x v="2"/>
    <x v="5"/>
    <x v="330"/>
    <x v="165"/>
    <x v="57"/>
    <x v="332"/>
    <x v="288"/>
    <x v="131"/>
    <x v="2"/>
  </r>
  <r>
    <x v="0"/>
    <x v="25"/>
    <x v="25"/>
    <x v="57"/>
    <x v="57"/>
    <x v="57"/>
    <x v="5"/>
    <x v="330"/>
    <x v="165"/>
    <x v="56"/>
    <x v="52"/>
    <x v="294"/>
    <x v="279"/>
    <x v="2"/>
  </r>
  <r>
    <x v="0"/>
    <x v="25"/>
    <x v="25"/>
    <x v="58"/>
    <x v="58"/>
    <x v="58"/>
    <x v="5"/>
    <x v="330"/>
    <x v="165"/>
    <x v="56"/>
    <x v="52"/>
    <x v="294"/>
    <x v="279"/>
    <x v="2"/>
  </r>
  <r>
    <x v="0"/>
    <x v="25"/>
    <x v="25"/>
    <x v="22"/>
    <x v="22"/>
    <x v="22"/>
    <x v="13"/>
    <x v="331"/>
    <x v="49"/>
    <x v="56"/>
    <x v="52"/>
    <x v="288"/>
    <x v="131"/>
    <x v="2"/>
  </r>
  <r>
    <x v="0"/>
    <x v="25"/>
    <x v="25"/>
    <x v="29"/>
    <x v="29"/>
    <x v="29"/>
    <x v="13"/>
    <x v="331"/>
    <x v="49"/>
    <x v="56"/>
    <x v="52"/>
    <x v="288"/>
    <x v="131"/>
    <x v="2"/>
  </r>
  <r>
    <x v="0"/>
    <x v="25"/>
    <x v="25"/>
    <x v="31"/>
    <x v="31"/>
    <x v="31"/>
    <x v="13"/>
    <x v="331"/>
    <x v="49"/>
    <x v="56"/>
    <x v="52"/>
    <x v="288"/>
    <x v="131"/>
    <x v="2"/>
  </r>
  <r>
    <x v="0"/>
    <x v="25"/>
    <x v="25"/>
    <x v="37"/>
    <x v="37"/>
    <x v="37"/>
    <x v="13"/>
    <x v="331"/>
    <x v="49"/>
    <x v="56"/>
    <x v="52"/>
    <x v="288"/>
    <x v="131"/>
    <x v="2"/>
  </r>
  <r>
    <x v="0"/>
    <x v="25"/>
    <x v="25"/>
    <x v="59"/>
    <x v="59"/>
    <x v="59"/>
    <x v="13"/>
    <x v="331"/>
    <x v="49"/>
    <x v="56"/>
    <x v="52"/>
    <x v="288"/>
    <x v="131"/>
    <x v="2"/>
  </r>
  <r>
    <x v="0"/>
    <x v="25"/>
    <x v="25"/>
    <x v="60"/>
    <x v="60"/>
    <x v="60"/>
    <x v="13"/>
    <x v="331"/>
    <x v="49"/>
    <x v="56"/>
    <x v="52"/>
    <x v="288"/>
    <x v="131"/>
    <x v="2"/>
  </r>
  <r>
    <x v="0"/>
    <x v="25"/>
    <x v="25"/>
    <x v="48"/>
    <x v="48"/>
    <x v="48"/>
    <x v="13"/>
    <x v="331"/>
    <x v="49"/>
    <x v="56"/>
    <x v="52"/>
    <x v="288"/>
    <x v="131"/>
    <x v="2"/>
  </r>
  <r>
    <x v="0"/>
    <x v="25"/>
    <x v="25"/>
    <x v="41"/>
    <x v="41"/>
    <x v="41"/>
    <x v="13"/>
    <x v="331"/>
    <x v="49"/>
    <x v="56"/>
    <x v="52"/>
    <x v="288"/>
    <x v="131"/>
    <x v="2"/>
  </r>
  <r>
    <x v="0"/>
    <x v="25"/>
    <x v="25"/>
    <x v="61"/>
    <x v="61"/>
    <x v="61"/>
    <x v="13"/>
    <x v="331"/>
    <x v="49"/>
    <x v="56"/>
    <x v="52"/>
    <x v="288"/>
    <x v="131"/>
    <x v="2"/>
  </r>
  <r>
    <x v="0"/>
    <x v="25"/>
    <x v="25"/>
    <x v="9"/>
    <x v="9"/>
    <x v="9"/>
    <x v="13"/>
    <x v="331"/>
    <x v="49"/>
    <x v="56"/>
    <x v="52"/>
    <x v="288"/>
    <x v="131"/>
    <x v="2"/>
  </r>
  <r>
    <x v="0"/>
    <x v="25"/>
    <x v="25"/>
    <x v="18"/>
    <x v="18"/>
    <x v="18"/>
    <x v="13"/>
    <x v="331"/>
    <x v="49"/>
    <x v="56"/>
    <x v="52"/>
    <x v="288"/>
    <x v="131"/>
    <x v="2"/>
  </r>
  <r>
    <x v="0"/>
    <x v="25"/>
    <x v="25"/>
    <x v="62"/>
    <x v="62"/>
    <x v="62"/>
    <x v="13"/>
    <x v="331"/>
    <x v="49"/>
    <x v="57"/>
    <x v="332"/>
    <x v="295"/>
    <x v="280"/>
    <x v="2"/>
  </r>
  <r>
    <x v="0"/>
    <x v="25"/>
    <x v="25"/>
    <x v="11"/>
    <x v="11"/>
    <x v="11"/>
    <x v="13"/>
    <x v="331"/>
    <x v="49"/>
    <x v="57"/>
    <x v="332"/>
    <x v="295"/>
    <x v="280"/>
    <x v="2"/>
  </r>
  <r>
    <x v="0"/>
    <x v="26"/>
    <x v="26"/>
    <x v="0"/>
    <x v="0"/>
    <x v="0"/>
    <x v="0"/>
    <x v="195"/>
    <x v="235"/>
    <x v="123"/>
    <x v="219"/>
    <x v="296"/>
    <x v="281"/>
    <x v="2"/>
  </r>
  <r>
    <x v="0"/>
    <x v="26"/>
    <x v="26"/>
    <x v="2"/>
    <x v="2"/>
    <x v="2"/>
    <x v="1"/>
    <x v="332"/>
    <x v="236"/>
    <x v="253"/>
    <x v="336"/>
    <x v="255"/>
    <x v="185"/>
    <x v="2"/>
  </r>
  <r>
    <x v="0"/>
    <x v="26"/>
    <x v="26"/>
    <x v="8"/>
    <x v="8"/>
    <x v="8"/>
    <x v="2"/>
    <x v="261"/>
    <x v="237"/>
    <x v="208"/>
    <x v="337"/>
    <x v="220"/>
    <x v="124"/>
    <x v="3"/>
  </r>
  <r>
    <x v="0"/>
    <x v="26"/>
    <x v="26"/>
    <x v="1"/>
    <x v="1"/>
    <x v="1"/>
    <x v="3"/>
    <x v="333"/>
    <x v="3"/>
    <x v="33"/>
    <x v="202"/>
    <x v="297"/>
    <x v="221"/>
    <x v="2"/>
  </r>
  <r>
    <x v="0"/>
    <x v="26"/>
    <x v="26"/>
    <x v="11"/>
    <x v="11"/>
    <x v="11"/>
    <x v="4"/>
    <x v="111"/>
    <x v="75"/>
    <x v="254"/>
    <x v="338"/>
    <x v="147"/>
    <x v="65"/>
    <x v="2"/>
  </r>
  <r>
    <x v="0"/>
    <x v="26"/>
    <x v="26"/>
    <x v="6"/>
    <x v="6"/>
    <x v="6"/>
    <x v="5"/>
    <x v="334"/>
    <x v="238"/>
    <x v="173"/>
    <x v="339"/>
    <x v="121"/>
    <x v="171"/>
    <x v="2"/>
  </r>
  <r>
    <x v="0"/>
    <x v="26"/>
    <x v="26"/>
    <x v="5"/>
    <x v="5"/>
    <x v="5"/>
    <x v="6"/>
    <x v="303"/>
    <x v="239"/>
    <x v="227"/>
    <x v="340"/>
    <x v="278"/>
    <x v="282"/>
    <x v="3"/>
  </r>
  <r>
    <x v="0"/>
    <x v="26"/>
    <x v="26"/>
    <x v="4"/>
    <x v="4"/>
    <x v="4"/>
    <x v="7"/>
    <x v="207"/>
    <x v="26"/>
    <x v="69"/>
    <x v="151"/>
    <x v="298"/>
    <x v="283"/>
    <x v="3"/>
  </r>
  <r>
    <x v="0"/>
    <x v="26"/>
    <x v="26"/>
    <x v="3"/>
    <x v="3"/>
    <x v="3"/>
    <x v="7"/>
    <x v="207"/>
    <x v="26"/>
    <x v="255"/>
    <x v="118"/>
    <x v="299"/>
    <x v="10"/>
    <x v="2"/>
  </r>
  <r>
    <x v="0"/>
    <x v="26"/>
    <x v="26"/>
    <x v="43"/>
    <x v="43"/>
    <x v="43"/>
    <x v="9"/>
    <x v="335"/>
    <x v="182"/>
    <x v="174"/>
    <x v="341"/>
    <x v="300"/>
    <x v="12"/>
    <x v="2"/>
  </r>
  <r>
    <x v="0"/>
    <x v="26"/>
    <x v="26"/>
    <x v="7"/>
    <x v="7"/>
    <x v="7"/>
    <x v="10"/>
    <x v="143"/>
    <x v="105"/>
    <x v="96"/>
    <x v="293"/>
    <x v="152"/>
    <x v="284"/>
    <x v="2"/>
  </r>
  <r>
    <x v="0"/>
    <x v="26"/>
    <x v="26"/>
    <x v="63"/>
    <x v="63"/>
    <x v="63"/>
    <x v="11"/>
    <x v="167"/>
    <x v="106"/>
    <x v="131"/>
    <x v="342"/>
    <x v="258"/>
    <x v="67"/>
    <x v="2"/>
  </r>
  <r>
    <x v="0"/>
    <x v="26"/>
    <x v="26"/>
    <x v="36"/>
    <x v="36"/>
    <x v="36"/>
    <x v="12"/>
    <x v="150"/>
    <x v="147"/>
    <x v="125"/>
    <x v="343"/>
    <x v="301"/>
    <x v="285"/>
    <x v="2"/>
  </r>
  <r>
    <x v="0"/>
    <x v="26"/>
    <x v="26"/>
    <x v="14"/>
    <x v="14"/>
    <x v="14"/>
    <x v="13"/>
    <x v="57"/>
    <x v="124"/>
    <x v="174"/>
    <x v="341"/>
    <x v="302"/>
    <x v="18"/>
    <x v="2"/>
  </r>
  <r>
    <x v="0"/>
    <x v="26"/>
    <x v="26"/>
    <x v="45"/>
    <x v="45"/>
    <x v="45"/>
    <x v="14"/>
    <x v="241"/>
    <x v="125"/>
    <x v="63"/>
    <x v="344"/>
    <x v="303"/>
    <x v="120"/>
    <x v="2"/>
  </r>
  <r>
    <x v="0"/>
    <x v="26"/>
    <x v="26"/>
    <x v="10"/>
    <x v="10"/>
    <x v="10"/>
    <x v="15"/>
    <x v="293"/>
    <x v="49"/>
    <x v="153"/>
    <x v="141"/>
    <x v="147"/>
    <x v="65"/>
    <x v="2"/>
  </r>
  <r>
    <x v="0"/>
    <x v="26"/>
    <x v="26"/>
    <x v="9"/>
    <x v="9"/>
    <x v="9"/>
    <x v="16"/>
    <x v="119"/>
    <x v="222"/>
    <x v="140"/>
    <x v="69"/>
    <x v="89"/>
    <x v="286"/>
    <x v="2"/>
  </r>
  <r>
    <x v="0"/>
    <x v="26"/>
    <x v="26"/>
    <x v="64"/>
    <x v="64"/>
    <x v="64"/>
    <x v="17"/>
    <x v="168"/>
    <x v="12"/>
    <x v="63"/>
    <x v="344"/>
    <x v="205"/>
    <x v="217"/>
    <x v="2"/>
  </r>
  <r>
    <x v="0"/>
    <x v="26"/>
    <x v="26"/>
    <x v="16"/>
    <x v="16"/>
    <x v="16"/>
    <x v="18"/>
    <x v="122"/>
    <x v="15"/>
    <x v="206"/>
    <x v="345"/>
    <x v="235"/>
    <x v="287"/>
    <x v="2"/>
  </r>
  <r>
    <x v="0"/>
    <x v="26"/>
    <x v="26"/>
    <x v="49"/>
    <x v="49"/>
    <x v="49"/>
    <x v="19"/>
    <x v="123"/>
    <x v="16"/>
    <x v="76"/>
    <x v="120"/>
    <x v="284"/>
    <x v="250"/>
    <x v="2"/>
  </r>
  <r>
    <x v="0"/>
    <x v="27"/>
    <x v="27"/>
    <x v="0"/>
    <x v="0"/>
    <x v="0"/>
    <x v="0"/>
    <x v="240"/>
    <x v="240"/>
    <x v="73"/>
    <x v="346"/>
    <x v="302"/>
    <x v="288"/>
    <x v="2"/>
  </r>
  <r>
    <x v="0"/>
    <x v="27"/>
    <x v="27"/>
    <x v="2"/>
    <x v="2"/>
    <x v="2"/>
    <x v="1"/>
    <x v="294"/>
    <x v="241"/>
    <x v="210"/>
    <x v="347"/>
    <x v="299"/>
    <x v="289"/>
    <x v="2"/>
  </r>
  <r>
    <x v="0"/>
    <x v="27"/>
    <x v="27"/>
    <x v="5"/>
    <x v="5"/>
    <x v="5"/>
    <x v="2"/>
    <x v="129"/>
    <x v="132"/>
    <x v="69"/>
    <x v="176"/>
    <x v="304"/>
    <x v="290"/>
    <x v="2"/>
  </r>
  <r>
    <x v="0"/>
    <x v="27"/>
    <x v="27"/>
    <x v="3"/>
    <x v="3"/>
    <x v="3"/>
    <x v="3"/>
    <x v="268"/>
    <x v="56"/>
    <x v="106"/>
    <x v="348"/>
    <x v="305"/>
    <x v="291"/>
    <x v="2"/>
  </r>
  <r>
    <x v="0"/>
    <x v="27"/>
    <x v="27"/>
    <x v="6"/>
    <x v="6"/>
    <x v="6"/>
    <x v="4"/>
    <x v="336"/>
    <x v="112"/>
    <x v="116"/>
    <x v="349"/>
    <x v="122"/>
    <x v="212"/>
    <x v="2"/>
  </r>
  <r>
    <x v="0"/>
    <x v="27"/>
    <x v="27"/>
    <x v="1"/>
    <x v="1"/>
    <x v="1"/>
    <x v="5"/>
    <x v="337"/>
    <x v="180"/>
    <x v="103"/>
    <x v="6"/>
    <x v="179"/>
    <x v="185"/>
    <x v="2"/>
  </r>
  <r>
    <x v="0"/>
    <x v="27"/>
    <x v="27"/>
    <x v="8"/>
    <x v="8"/>
    <x v="8"/>
    <x v="5"/>
    <x v="337"/>
    <x v="180"/>
    <x v="221"/>
    <x v="350"/>
    <x v="121"/>
    <x v="110"/>
    <x v="2"/>
  </r>
  <r>
    <x v="0"/>
    <x v="27"/>
    <x v="27"/>
    <x v="4"/>
    <x v="4"/>
    <x v="4"/>
    <x v="7"/>
    <x v="338"/>
    <x v="77"/>
    <x v="68"/>
    <x v="64"/>
    <x v="235"/>
    <x v="268"/>
    <x v="2"/>
  </r>
  <r>
    <x v="0"/>
    <x v="27"/>
    <x v="27"/>
    <x v="10"/>
    <x v="10"/>
    <x v="10"/>
    <x v="8"/>
    <x v="339"/>
    <x v="242"/>
    <x v="17"/>
    <x v="351"/>
    <x v="305"/>
    <x v="291"/>
    <x v="2"/>
  </r>
  <r>
    <x v="0"/>
    <x v="27"/>
    <x v="27"/>
    <x v="11"/>
    <x v="11"/>
    <x v="11"/>
    <x v="9"/>
    <x v="340"/>
    <x v="46"/>
    <x v="225"/>
    <x v="149"/>
    <x v="123"/>
    <x v="121"/>
    <x v="2"/>
  </r>
  <r>
    <x v="0"/>
    <x v="27"/>
    <x v="27"/>
    <x v="7"/>
    <x v="7"/>
    <x v="7"/>
    <x v="10"/>
    <x v="278"/>
    <x v="243"/>
    <x v="98"/>
    <x v="352"/>
    <x v="226"/>
    <x v="186"/>
    <x v="2"/>
  </r>
  <r>
    <x v="0"/>
    <x v="27"/>
    <x v="27"/>
    <x v="9"/>
    <x v="9"/>
    <x v="9"/>
    <x v="11"/>
    <x v="281"/>
    <x v="136"/>
    <x v="47"/>
    <x v="233"/>
    <x v="169"/>
    <x v="158"/>
    <x v="2"/>
  </r>
  <r>
    <x v="0"/>
    <x v="27"/>
    <x v="27"/>
    <x v="49"/>
    <x v="49"/>
    <x v="49"/>
    <x v="12"/>
    <x v="341"/>
    <x v="182"/>
    <x v="68"/>
    <x v="64"/>
    <x v="281"/>
    <x v="256"/>
    <x v="2"/>
  </r>
  <r>
    <x v="0"/>
    <x v="27"/>
    <x v="27"/>
    <x v="16"/>
    <x v="16"/>
    <x v="16"/>
    <x v="12"/>
    <x v="341"/>
    <x v="182"/>
    <x v="98"/>
    <x v="352"/>
    <x v="306"/>
    <x v="80"/>
    <x v="2"/>
  </r>
  <r>
    <x v="0"/>
    <x v="27"/>
    <x v="27"/>
    <x v="43"/>
    <x v="43"/>
    <x v="43"/>
    <x v="14"/>
    <x v="342"/>
    <x v="31"/>
    <x v="45"/>
    <x v="90"/>
    <x v="221"/>
    <x v="286"/>
    <x v="2"/>
  </r>
  <r>
    <x v="0"/>
    <x v="27"/>
    <x v="27"/>
    <x v="36"/>
    <x v="36"/>
    <x v="36"/>
    <x v="15"/>
    <x v="343"/>
    <x v="32"/>
    <x v="49"/>
    <x v="194"/>
    <x v="73"/>
    <x v="45"/>
    <x v="2"/>
  </r>
  <r>
    <x v="0"/>
    <x v="27"/>
    <x v="27"/>
    <x v="15"/>
    <x v="15"/>
    <x v="15"/>
    <x v="16"/>
    <x v="344"/>
    <x v="222"/>
    <x v="57"/>
    <x v="353"/>
    <x v="42"/>
    <x v="36"/>
    <x v="1"/>
  </r>
  <r>
    <x v="0"/>
    <x v="27"/>
    <x v="27"/>
    <x v="17"/>
    <x v="17"/>
    <x v="17"/>
    <x v="17"/>
    <x v="345"/>
    <x v="96"/>
    <x v="57"/>
    <x v="353"/>
    <x v="139"/>
    <x v="33"/>
    <x v="2"/>
  </r>
  <r>
    <x v="0"/>
    <x v="27"/>
    <x v="27"/>
    <x v="14"/>
    <x v="14"/>
    <x v="14"/>
    <x v="18"/>
    <x v="346"/>
    <x v="81"/>
    <x v="63"/>
    <x v="162"/>
    <x v="251"/>
    <x v="82"/>
    <x v="2"/>
  </r>
  <r>
    <x v="0"/>
    <x v="27"/>
    <x v="27"/>
    <x v="13"/>
    <x v="13"/>
    <x v="13"/>
    <x v="19"/>
    <x v="347"/>
    <x v="138"/>
    <x v="127"/>
    <x v="354"/>
    <x v="150"/>
    <x v="232"/>
    <x v="2"/>
  </r>
  <r>
    <x v="0"/>
    <x v="28"/>
    <x v="28"/>
    <x v="0"/>
    <x v="0"/>
    <x v="0"/>
    <x v="0"/>
    <x v="348"/>
    <x v="244"/>
    <x v="173"/>
    <x v="355"/>
    <x v="307"/>
    <x v="292"/>
    <x v="2"/>
  </r>
  <r>
    <x v="0"/>
    <x v="28"/>
    <x v="28"/>
    <x v="2"/>
    <x v="2"/>
    <x v="2"/>
    <x v="1"/>
    <x v="54"/>
    <x v="245"/>
    <x v="136"/>
    <x v="356"/>
    <x v="297"/>
    <x v="33"/>
    <x v="2"/>
  </r>
  <r>
    <x v="0"/>
    <x v="28"/>
    <x v="28"/>
    <x v="4"/>
    <x v="4"/>
    <x v="4"/>
    <x v="2"/>
    <x v="165"/>
    <x v="246"/>
    <x v="68"/>
    <x v="111"/>
    <x v="308"/>
    <x v="293"/>
    <x v="2"/>
  </r>
  <r>
    <x v="0"/>
    <x v="28"/>
    <x v="28"/>
    <x v="8"/>
    <x v="8"/>
    <x v="8"/>
    <x v="3"/>
    <x v="185"/>
    <x v="162"/>
    <x v="256"/>
    <x v="357"/>
    <x v="256"/>
    <x v="120"/>
    <x v="2"/>
  </r>
  <r>
    <x v="0"/>
    <x v="28"/>
    <x v="28"/>
    <x v="6"/>
    <x v="6"/>
    <x v="6"/>
    <x v="4"/>
    <x v="179"/>
    <x v="247"/>
    <x v="50"/>
    <x v="358"/>
    <x v="179"/>
    <x v="145"/>
    <x v="2"/>
  </r>
  <r>
    <x v="0"/>
    <x v="28"/>
    <x v="28"/>
    <x v="7"/>
    <x v="7"/>
    <x v="7"/>
    <x v="5"/>
    <x v="317"/>
    <x v="248"/>
    <x v="74"/>
    <x v="359"/>
    <x v="281"/>
    <x v="294"/>
    <x v="2"/>
  </r>
  <r>
    <x v="0"/>
    <x v="28"/>
    <x v="28"/>
    <x v="1"/>
    <x v="1"/>
    <x v="1"/>
    <x v="6"/>
    <x v="187"/>
    <x v="249"/>
    <x v="117"/>
    <x v="360"/>
    <x v="90"/>
    <x v="179"/>
    <x v="2"/>
  </r>
  <r>
    <x v="0"/>
    <x v="28"/>
    <x v="28"/>
    <x v="3"/>
    <x v="3"/>
    <x v="3"/>
    <x v="7"/>
    <x v="189"/>
    <x v="250"/>
    <x v="34"/>
    <x v="337"/>
    <x v="81"/>
    <x v="170"/>
    <x v="3"/>
  </r>
  <r>
    <x v="0"/>
    <x v="28"/>
    <x v="28"/>
    <x v="9"/>
    <x v="9"/>
    <x v="9"/>
    <x v="8"/>
    <x v="268"/>
    <x v="200"/>
    <x v="53"/>
    <x v="198"/>
    <x v="148"/>
    <x v="235"/>
    <x v="2"/>
  </r>
  <r>
    <x v="0"/>
    <x v="28"/>
    <x v="28"/>
    <x v="5"/>
    <x v="5"/>
    <x v="5"/>
    <x v="8"/>
    <x v="268"/>
    <x v="200"/>
    <x v="189"/>
    <x v="361"/>
    <x v="273"/>
    <x v="58"/>
    <x v="2"/>
  </r>
  <r>
    <x v="0"/>
    <x v="28"/>
    <x v="28"/>
    <x v="10"/>
    <x v="10"/>
    <x v="10"/>
    <x v="10"/>
    <x v="349"/>
    <x v="251"/>
    <x v="74"/>
    <x v="359"/>
    <x v="223"/>
    <x v="255"/>
    <x v="2"/>
  </r>
  <r>
    <x v="0"/>
    <x v="28"/>
    <x v="28"/>
    <x v="42"/>
    <x v="42"/>
    <x v="42"/>
    <x v="11"/>
    <x v="350"/>
    <x v="193"/>
    <x v="76"/>
    <x v="362"/>
    <x v="220"/>
    <x v="28"/>
    <x v="2"/>
  </r>
  <r>
    <x v="0"/>
    <x v="28"/>
    <x v="28"/>
    <x v="12"/>
    <x v="12"/>
    <x v="12"/>
    <x v="12"/>
    <x v="351"/>
    <x v="7"/>
    <x v="47"/>
    <x v="95"/>
    <x v="255"/>
    <x v="86"/>
    <x v="3"/>
  </r>
  <r>
    <x v="0"/>
    <x v="28"/>
    <x v="28"/>
    <x v="11"/>
    <x v="11"/>
    <x v="11"/>
    <x v="13"/>
    <x v="352"/>
    <x v="48"/>
    <x v="17"/>
    <x v="310"/>
    <x v="253"/>
    <x v="295"/>
    <x v="2"/>
  </r>
  <r>
    <x v="0"/>
    <x v="28"/>
    <x v="28"/>
    <x v="32"/>
    <x v="32"/>
    <x v="32"/>
    <x v="14"/>
    <x v="341"/>
    <x v="124"/>
    <x v="44"/>
    <x v="363"/>
    <x v="226"/>
    <x v="51"/>
    <x v="2"/>
  </r>
  <r>
    <x v="0"/>
    <x v="28"/>
    <x v="28"/>
    <x v="57"/>
    <x v="57"/>
    <x v="57"/>
    <x v="15"/>
    <x v="353"/>
    <x v="125"/>
    <x v="155"/>
    <x v="267"/>
    <x v="263"/>
    <x v="296"/>
    <x v="2"/>
  </r>
  <r>
    <x v="0"/>
    <x v="28"/>
    <x v="28"/>
    <x v="16"/>
    <x v="16"/>
    <x v="16"/>
    <x v="16"/>
    <x v="354"/>
    <x v="33"/>
    <x v="252"/>
    <x v="204"/>
    <x v="142"/>
    <x v="258"/>
    <x v="2"/>
  </r>
  <r>
    <x v="0"/>
    <x v="28"/>
    <x v="28"/>
    <x v="19"/>
    <x v="19"/>
    <x v="19"/>
    <x v="16"/>
    <x v="354"/>
    <x v="33"/>
    <x v="226"/>
    <x v="214"/>
    <x v="168"/>
    <x v="297"/>
    <x v="2"/>
  </r>
  <r>
    <x v="0"/>
    <x v="28"/>
    <x v="28"/>
    <x v="14"/>
    <x v="14"/>
    <x v="14"/>
    <x v="18"/>
    <x v="284"/>
    <x v="96"/>
    <x v="63"/>
    <x v="364"/>
    <x v="226"/>
    <x v="51"/>
    <x v="2"/>
  </r>
  <r>
    <x v="0"/>
    <x v="28"/>
    <x v="28"/>
    <x v="17"/>
    <x v="17"/>
    <x v="17"/>
    <x v="19"/>
    <x v="286"/>
    <x v="138"/>
    <x v="57"/>
    <x v="66"/>
    <x v="248"/>
    <x v="286"/>
    <x v="3"/>
  </r>
  <r>
    <x v="0"/>
    <x v="29"/>
    <x v="29"/>
    <x v="0"/>
    <x v="0"/>
    <x v="0"/>
    <x v="0"/>
    <x v="355"/>
    <x v="252"/>
    <x v="257"/>
    <x v="365"/>
    <x v="233"/>
    <x v="298"/>
    <x v="2"/>
  </r>
  <r>
    <x v="0"/>
    <x v="29"/>
    <x v="29"/>
    <x v="4"/>
    <x v="4"/>
    <x v="4"/>
    <x v="1"/>
    <x v="267"/>
    <x v="253"/>
    <x v="54"/>
    <x v="59"/>
    <x v="112"/>
    <x v="293"/>
    <x v="2"/>
  </r>
  <r>
    <x v="0"/>
    <x v="29"/>
    <x v="29"/>
    <x v="2"/>
    <x v="2"/>
    <x v="2"/>
    <x v="2"/>
    <x v="356"/>
    <x v="132"/>
    <x v="101"/>
    <x v="366"/>
    <x v="246"/>
    <x v="299"/>
    <x v="2"/>
  </r>
  <r>
    <x v="0"/>
    <x v="29"/>
    <x v="29"/>
    <x v="5"/>
    <x v="5"/>
    <x v="5"/>
    <x v="3"/>
    <x v="279"/>
    <x v="254"/>
    <x v="140"/>
    <x v="136"/>
    <x v="256"/>
    <x v="224"/>
    <x v="2"/>
  </r>
  <r>
    <x v="0"/>
    <x v="29"/>
    <x v="29"/>
    <x v="6"/>
    <x v="6"/>
    <x v="6"/>
    <x v="4"/>
    <x v="282"/>
    <x v="208"/>
    <x v="258"/>
    <x v="367"/>
    <x v="168"/>
    <x v="300"/>
    <x v="2"/>
  </r>
  <r>
    <x v="0"/>
    <x v="29"/>
    <x v="29"/>
    <x v="8"/>
    <x v="8"/>
    <x v="8"/>
    <x v="5"/>
    <x v="354"/>
    <x v="25"/>
    <x v="146"/>
    <x v="225"/>
    <x v="61"/>
    <x v="236"/>
    <x v="2"/>
  </r>
  <r>
    <x v="0"/>
    <x v="29"/>
    <x v="29"/>
    <x v="11"/>
    <x v="11"/>
    <x v="11"/>
    <x v="6"/>
    <x v="342"/>
    <x v="102"/>
    <x v="162"/>
    <x v="10"/>
    <x v="150"/>
    <x v="73"/>
    <x v="2"/>
  </r>
  <r>
    <x v="0"/>
    <x v="29"/>
    <x v="29"/>
    <x v="1"/>
    <x v="1"/>
    <x v="1"/>
    <x v="7"/>
    <x v="357"/>
    <x v="123"/>
    <x v="154"/>
    <x v="247"/>
    <x v="246"/>
    <x v="299"/>
    <x v="2"/>
  </r>
  <r>
    <x v="0"/>
    <x v="29"/>
    <x v="29"/>
    <x v="45"/>
    <x v="45"/>
    <x v="45"/>
    <x v="8"/>
    <x v="343"/>
    <x v="136"/>
    <x v="47"/>
    <x v="344"/>
    <x v="42"/>
    <x v="301"/>
    <x v="2"/>
  </r>
  <r>
    <x v="0"/>
    <x v="29"/>
    <x v="29"/>
    <x v="9"/>
    <x v="9"/>
    <x v="9"/>
    <x v="9"/>
    <x v="345"/>
    <x v="92"/>
    <x v="47"/>
    <x v="344"/>
    <x v="138"/>
    <x v="282"/>
    <x v="2"/>
  </r>
  <r>
    <x v="0"/>
    <x v="29"/>
    <x v="29"/>
    <x v="3"/>
    <x v="3"/>
    <x v="3"/>
    <x v="10"/>
    <x v="358"/>
    <x v="29"/>
    <x v="243"/>
    <x v="368"/>
    <x v="309"/>
    <x v="157"/>
    <x v="2"/>
  </r>
  <r>
    <x v="0"/>
    <x v="29"/>
    <x v="29"/>
    <x v="49"/>
    <x v="49"/>
    <x v="49"/>
    <x v="11"/>
    <x v="359"/>
    <x v="194"/>
    <x v="68"/>
    <x v="64"/>
    <x v="226"/>
    <x v="230"/>
    <x v="2"/>
  </r>
  <r>
    <x v="0"/>
    <x v="29"/>
    <x v="29"/>
    <x v="14"/>
    <x v="14"/>
    <x v="14"/>
    <x v="12"/>
    <x v="360"/>
    <x v="80"/>
    <x v="51"/>
    <x v="182"/>
    <x v="306"/>
    <x v="120"/>
    <x v="2"/>
  </r>
  <r>
    <x v="0"/>
    <x v="29"/>
    <x v="29"/>
    <x v="40"/>
    <x v="40"/>
    <x v="40"/>
    <x v="13"/>
    <x v="361"/>
    <x v="49"/>
    <x v="189"/>
    <x v="272"/>
    <x v="61"/>
    <x v="236"/>
    <x v="2"/>
  </r>
  <r>
    <x v="0"/>
    <x v="29"/>
    <x v="29"/>
    <x v="12"/>
    <x v="12"/>
    <x v="12"/>
    <x v="14"/>
    <x v="362"/>
    <x v="12"/>
    <x v="57"/>
    <x v="353"/>
    <x v="41"/>
    <x v="302"/>
    <x v="2"/>
  </r>
  <r>
    <x v="0"/>
    <x v="29"/>
    <x v="29"/>
    <x v="16"/>
    <x v="16"/>
    <x v="16"/>
    <x v="15"/>
    <x v="363"/>
    <x v="138"/>
    <x v="189"/>
    <x v="272"/>
    <x v="305"/>
    <x v="234"/>
    <x v="2"/>
  </r>
  <r>
    <x v="0"/>
    <x v="29"/>
    <x v="29"/>
    <x v="41"/>
    <x v="41"/>
    <x v="41"/>
    <x v="16"/>
    <x v="364"/>
    <x v="255"/>
    <x v="72"/>
    <x v="369"/>
    <x v="190"/>
    <x v="303"/>
    <x v="2"/>
  </r>
  <r>
    <x v="0"/>
    <x v="29"/>
    <x v="29"/>
    <x v="10"/>
    <x v="10"/>
    <x v="10"/>
    <x v="16"/>
    <x v="364"/>
    <x v="255"/>
    <x v="125"/>
    <x v="370"/>
    <x v="234"/>
    <x v="89"/>
    <x v="2"/>
  </r>
  <r>
    <x v="0"/>
    <x v="29"/>
    <x v="29"/>
    <x v="65"/>
    <x v="65"/>
    <x v="65"/>
    <x v="16"/>
    <x v="364"/>
    <x v="255"/>
    <x v="57"/>
    <x v="353"/>
    <x v="97"/>
    <x v="172"/>
    <x v="2"/>
  </r>
  <r>
    <x v="0"/>
    <x v="29"/>
    <x v="29"/>
    <x v="19"/>
    <x v="19"/>
    <x v="19"/>
    <x v="19"/>
    <x v="365"/>
    <x v="66"/>
    <x v="259"/>
    <x v="371"/>
    <x v="294"/>
    <x v="304"/>
    <x v="2"/>
  </r>
  <r>
    <x v="0"/>
    <x v="30"/>
    <x v="30"/>
    <x v="2"/>
    <x v="2"/>
    <x v="2"/>
    <x v="0"/>
    <x v="277"/>
    <x v="256"/>
    <x v="178"/>
    <x v="372"/>
    <x v="130"/>
    <x v="84"/>
    <x v="2"/>
  </r>
  <r>
    <x v="0"/>
    <x v="30"/>
    <x v="30"/>
    <x v="11"/>
    <x v="11"/>
    <x v="11"/>
    <x v="1"/>
    <x v="366"/>
    <x v="224"/>
    <x v="218"/>
    <x v="373"/>
    <x v="234"/>
    <x v="297"/>
    <x v="2"/>
  </r>
  <r>
    <x v="0"/>
    <x v="30"/>
    <x v="30"/>
    <x v="0"/>
    <x v="0"/>
    <x v="0"/>
    <x v="2"/>
    <x v="367"/>
    <x v="257"/>
    <x v="76"/>
    <x v="374"/>
    <x v="254"/>
    <x v="305"/>
    <x v="2"/>
  </r>
  <r>
    <x v="0"/>
    <x v="30"/>
    <x v="30"/>
    <x v="3"/>
    <x v="3"/>
    <x v="3"/>
    <x v="3"/>
    <x v="352"/>
    <x v="250"/>
    <x v="225"/>
    <x v="375"/>
    <x v="150"/>
    <x v="121"/>
    <x v="2"/>
  </r>
  <r>
    <x v="0"/>
    <x v="30"/>
    <x v="30"/>
    <x v="8"/>
    <x v="8"/>
    <x v="8"/>
    <x v="4"/>
    <x v="354"/>
    <x v="258"/>
    <x v="128"/>
    <x v="173"/>
    <x v="246"/>
    <x v="23"/>
    <x v="2"/>
  </r>
  <r>
    <x v="0"/>
    <x v="30"/>
    <x v="30"/>
    <x v="1"/>
    <x v="1"/>
    <x v="1"/>
    <x v="5"/>
    <x v="285"/>
    <x v="5"/>
    <x v="162"/>
    <x v="13"/>
    <x v="130"/>
    <x v="84"/>
    <x v="2"/>
  </r>
  <r>
    <x v="0"/>
    <x v="30"/>
    <x v="30"/>
    <x v="66"/>
    <x v="66"/>
    <x v="66"/>
    <x v="6"/>
    <x v="286"/>
    <x v="259"/>
    <x v="168"/>
    <x v="376"/>
    <x v="246"/>
    <x v="23"/>
    <x v="2"/>
  </r>
  <r>
    <x v="0"/>
    <x v="30"/>
    <x v="30"/>
    <x v="6"/>
    <x v="6"/>
    <x v="6"/>
    <x v="6"/>
    <x v="286"/>
    <x v="259"/>
    <x v="226"/>
    <x v="377"/>
    <x v="309"/>
    <x v="300"/>
    <x v="2"/>
  </r>
  <r>
    <x v="0"/>
    <x v="30"/>
    <x v="30"/>
    <x v="63"/>
    <x v="63"/>
    <x v="63"/>
    <x v="8"/>
    <x v="368"/>
    <x v="260"/>
    <x v="252"/>
    <x v="97"/>
    <x v="179"/>
    <x v="207"/>
    <x v="2"/>
  </r>
  <r>
    <x v="0"/>
    <x v="30"/>
    <x v="30"/>
    <x v="64"/>
    <x v="64"/>
    <x v="64"/>
    <x v="9"/>
    <x v="342"/>
    <x v="89"/>
    <x v="51"/>
    <x v="283"/>
    <x v="42"/>
    <x v="306"/>
    <x v="2"/>
  </r>
  <r>
    <x v="0"/>
    <x v="30"/>
    <x v="30"/>
    <x v="7"/>
    <x v="7"/>
    <x v="7"/>
    <x v="10"/>
    <x v="347"/>
    <x v="261"/>
    <x v="113"/>
    <x v="378"/>
    <x v="305"/>
    <x v="307"/>
    <x v="2"/>
  </r>
  <r>
    <x v="0"/>
    <x v="30"/>
    <x v="30"/>
    <x v="36"/>
    <x v="36"/>
    <x v="36"/>
    <x v="11"/>
    <x v="359"/>
    <x v="27"/>
    <x v="64"/>
    <x v="379"/>
    <x v="120"/>
    <x v="308"/>
    <x v="2"/>
  </r>
  <r>
    <x v="0"/>
    <x v="30"/>
    <x v="30"/>
    <x v="10"/>
    <x v="10"/>
    <x v="10"/>
    <x v="12"/>
    <x v="360"/>
    <x v="64"/>
    <x v="155"/>
    <x v="380"/>
    <x v="293"/>
    <x v="81"/>
    <x v="2"/>
  </r>
  <r>
    <x v="0"/>
    <x v="30"/>
    <x v="30"/>
    <x v="16"/>
    <x v="16"/>
    <x v="16"/>
    <x v="13"/>
    <x v="369"/>
    <x v="30"/>
    <x v="125"/>
    <x v="293"/>
    <x v="130"/>
    <x v="84"/>
    <x v="2"/>
  </r>
  <r>
    <x v="0"/>
    <x v="30"/>
    <x v="30"/>
    <x v="67"/>
    <x v="67"/>
    <x v="67"/>
    <x v="13"/>
    <x v="369"/>
    <x v="30"/>
    <x v="260"/>
    <x v="381"/>
    <x v="305"/>
    <x v="307"/>
    <x v="2"/>
  </r>
  <r>
    <x v="0"/>
    <x v="30"/>
    <x v="30"/>
    <x v="4"/>
    <x v="4"/>
    <x v="4"/>
    <x v="15"/>
    <x v="364"/>
    <x v="95"/>
    <x v="57"/>
    <x v="353"/>
    <x v="251"/>
    <x v="214"/>
    <x v="3"/>
  </r>
  <r>
    <x v="0"/>
    <x v="30"/>
    <x v="30"/>
    <x v="34"/>
    <x v="34"/>
    <x v="34"/>
    <x v="15"/>
    <x v="364"/>
    <x v="95"/>
    <x v="259"/>
    <x v="382"/>
    <x v="294"/>
    <x v="34"/>
    <x v="3"/>
  </r>
  <r>
    <x v="0"/>
    <x v="30"/>
    <x v="30"/>
    <x v="43"/>
    <x v="43"/>
    <x v="43"/>
    <x v="17"/>
    <x v="365"/>
    <x v="80"/>
    <x v="94"/>
    <x v="43"/>
    <x v="149"/>
    <x v="21"/>
    <x v="2"/>
  </r>
  <r>
    <x v="0"/>
    <x v="30"/>
    <x v="30"/>
    <x v="48"/>
    <x v="48"/>
    <x v="48"/>
    <x v="18"/>
    <x v="370"/>
    <x v="116"/>
    <x v="189"/>
    <x v="294"/>
    <x v="115"/>
    <x v="261"/>
    <x v="2"/>
  </r>
  <r>
    <x v="0"/>
    <x v="30"/>
    <x v="30"/>
    <x v="40"/>
    <x v="40"/>
    <x v="40"/>
    <x v="18"/>
    <x v="370"/>
    <x v="116"/>
    <x v="64"/>
    <x v="379"/>
    <x v="225"/>
    <x v="309"/>
    <x v="2"/>
  </r>
  <r>
    <x v="0"/>
    <x v="31"/>
    <x v="31"/>
    <x v="0"/>
    <x v="0"/>
    <x v="0"/>
    <x v="0"/>
    <x v="67"/>
    <x v="262"/>
    <x v="261"/>
    <x v="383"/>
    <x v="310"/>
    <x v="310"/>
    <x v="2"/>
  </r>
  <r>
    <x v="0"/>
    <x v="31"/>
    <x v="31"/>
    <x v="2"/>
    <x v="2"/>
    <x v="2"/>
    <x v="1"/>
    <x v="274"/>
    <x v="55"/>
    <x v="245"/>
    <x v="384"/>
    <x v="190"/>
    <x v="8"/>
    <x v="2"/>
  </r>
  <r>
    <x v="0"/>
    <x v="31"/>
    <x v="31"/>
    <x v="4"/>
    <x v="4"/>
    <x v="4"/>
    <x v="2"/>
    <x v="127"/>
    <x v="87"/>
    <x v="45"/>
    <x v="48"/>
    <x v="118"/>
    <x v="311"/>
    <x v="2"/>
  </r>
  <r>
    <x v="0"/>
    <x v="31"/>
    <x v="31"/>
    <x v="6"/>
    <x v="6"/>
    <x v="6"/>
    <x v="3"/>
    <x v="190"/>
    <x v="211"/>
    <x v="182"/>
    <x v="385"/>
    <x v="246"/>
    <x v="312"/>
    <x v="2"/>
  </r>
  <r>
    <x v="0"/>
    <x v="31"/>
    <x v="31"/>
    <x v="1"/>
    <x v="1"/>
    <x v="1"/>
    <x v="4"/>
    <x v="269"/>
    <x v="74"/>
    <x v="262"/>
    <x v="386"/>
    <x v="311"/>
    <x v="190"/>
    <x v="2"/>
  </r>
  <r>
    <x v="0"/>
    <x v="31"/>
    <x v="31"/>
    <x v="8"/>
    <x v="8"/>
    <x v="8"/>
    <x v="5"/>
    <x v="157"/>
    <x v="263"/>
    <x v="263"/>
    <x v="387"/>
    <x v="121"/>
    <x v="313"/>
    <x v="2"/>
  </r>
  <r>
    <x v="0"/>
    <x v="31"/>
    <x v="31"/>
    <x v="11"/>
    <x v="11"/>
    <x v="11"/>
    <x v="6"/>
    <x v="243"/>
    <x v="62"/>
    <x v="264"/>
    <x v="45"/>
    <x v="123"/>
    <x v="65"/>
    <x v="2"/>
  </r>
  <r>
    <x v="0"/>
    <x v="31"/>
    <x v="31"/>
    <x v="3"/>
    <x v="3"/>
    <x v="3"/>
    <x v="7"/>
    <x v="337"/>
    <x v="260"/>
    <x v="265"/>
    <x v="388"/>
    <x v="225"/>
    <x v="111"/>
    <x v="2"/>
  </r>
  <r>
    <x v="0"/>
    <x v="31"/>
    <x v="31"/>
    <x v="7"/>
    <x v="7"/>
    <x v="7"/>
    <x v="8"/>
    <x v="371"/>
    <x v="153"/>
    <x v="109"/>
    <x v="389"/>
    <x v="275"/>
    <x v="153"/>
    <x v="2"/>
  </r>
  <r>
    <x v="0"/>
    <x v="31"/>
    <x v="31"/>
    <x v="36"/>
    <x v="36"/>
    <x v="36"/>
    <x v="9"/>
    <x v="272"/>
    <x v="78"/>
    <x v="51"/>
    <x v="274"/>
    <x v="235"/>
    <x v="314"/>
    <x v="2"/>
  </r>
  <r>
    <x v="0"/>
    <x v="31"/>
    <x v="31"/>
    <x v="43"/>
    <x v="43"/>
    <x v="43"/>
    <x v="10"/>
    <x v="340"/>
    <x v="166"/>
    <x v="53"/>
    <x v="15"/>
    <x v="117"/>
    <x v="315"/>
    <x v="2"/>
  </r>
  <r>
    <x v="0"/>
    <x v="31"/>
    <x v="31"/>
    <x v="5"/>
    <x v="5"/>
    <x v="5"/>
    <x v="11"/>
    <x v="352"/>
    <x v="114"/>
    <x v="49"/>
    <x v="191"/>
    <x v="281"/>
    <x v="316"/>
    <x v="2"/>
  </r>
  <r>
    <x v="0"/>
    <x v="31"/>
    <x v="31"/>
    <x v="10"/>
    <x v="10"/>
    <x v="10"/>
    <x v="12"/>
    <x v="280"/>
    <x v="10"/>
    <x v="176"/>
    <x v="390"/>
    <x v="309"/>
    <x v="89"/>
    <x v="2"/>
  </r>
  <r>
    <x v="0"/>
    <x v="31"/>
    <x v="31"/>
    <x v="9"/>
    <x v="9"/>
    <x v="9"/>
    <x v="13"/>
    <x v="372"/>
    <x v="29"/>
    <x v="45"/>
    <x v="48"/>
    <x v="312"/>
    <x v="302"/>
    <x v="2"/>
  </r>
  <r>
    <x v="0"/>
    <x v="31"/>
    <x v="31"/>
    <x v="40"/>
    <x v="40"/>
    <x v="40"/>
    <x v="14"/>
    <x v="281"/>
    <x v="146"/>
    <x v="266"/>
    <x v="36"/>
    <x v="142"/>
    <x v="52"/>
    <x v="2"/>
  </r>
  <r>
    <x v="0"/>
    <x v="31"/>
    <x v="31"/>
    <x v="17"/>
    <x v="17"/>
    <x v="17"/>
    <x v="15"/>
    <x v="353"/>
    <x v="95"/>
    <x v="53"/>
    <x v="15"/>
    <x v="239"/>
    <x v="143"/>
    <x v="2"/>
  </r>
  <r>
    <x v="0"/>
    <x v="31"/>
    <x v="31"/>
    <x v="45"/>
    <x v="45"/>
    <x v="45"/>
    <x v="16"/>
    <x v="354"/>
    <x v="108"/>
    <x v="70"/>
    <x v="154"/>
    <x v="254"/>
    <x v="197"/>
    <x v="2"/>
  </r>
  <r>
    <x v="0"/>
    <x v="31"/>
    <x v="31"/>
    <x v="19"/>
    <x v="19"/>
    <x v="19"/>
    <x v="16"/>
    <x v="354"/>
    <x v="108"/>
    <x v="206"/>
    <x v="391"/>
    <x v="115"/>
    <x v="237"/>
    <x v="2"/>
  </r>
  <r>
    <x v="0"/>
    <x v="31"/>
    <x v="31"/>
    <x v="39"/>
    <x v="39"/>
    <x v="39"/>
    <x v="18"/>
    <x v="284"/>
    <x v="49"/>
    <x v="70"/>
    <x v="154"/>
    <x v="139"/>
    <x v="317"/>
    <x v="2"/>
  </r>
  <r>
    <x v="0"/>
    <x v="31"/>
    <x v="31"/>
    <x v="51"/>
    <x v="51"/>
    <x v="51"/>
    <x v="18"/>
    <x v="284"/>
    <x v="49"/>
    <x v="70"/>
    <x v="154"/>
    <x v="139"/>
    <x v="317"/>
    <x v="2"/>
  </r>
  <r>
    <x v="0"/>
    <x v="32"/>
    <x v="32"/>
    <x v="0"/>
    <x v="0"/>
    <x v="0"/>
    <x v="0"/>
    <x v="356"/>
    <x v="264"/>
    <x v="199"/>
    <x v="392"/>
    <x v="256"/>
    <x v="318"/>
    <x v="2"/>
  </r>
  <r>
    <x v="0"/>
    <x v="32"/>
    <x v="32"/>
    <x v="2"/>
    <x v="2"/>
    <x v="2"/>
    <x v="1"/>
    <x v="340"/>
    <x v="265"/>
    <x v="188"/>
    <x v="317"/>
    <x v="246"/>
    <x v="175"/>
    <x v="2"/>
  </r>
  <r>
    <x v="0"/>
    <x v="32"/>
    <x v="32"/>
    <x v="1"/>
    <x v="1"/>
    <x v="1"/>
    <x v="2"/>
    <x v="341"/>
    <x v="266"/>
    <x v="118"/>
    <x v="393"/>
    <x v="123"/>
    <x v="221"/>
    <x v="2"/>
  </r>
  <r>
    <x v="0"/>
    <x v="32"/>
    <x v="32"/>
    <x v="3"/>
    <x v="3"/>
    <x v="3"/>
    <x v="3"/>
    <x v="284"/>
    <x v="267"/>
    <x v="91"/>
    <x v="394"/>
    <x v="115"/>
    <x v="245"/>
    <x v="2"/>
  </r>
  <r>
    <x v="0"/>
    <x v="32"/>
    <x v="32"/>
    <x v="6"/>
    <x v="6"/>
    <x v="6"/>
    <x v="4"/>
    <x v="286"/>
    <x v="268"/>
    <x v="226"/>
    <x v="78"/>
    <x v="309"/>
    <x v="253"/>
    <x v="2"/>
  </r>
  <r>
    <x v="0"/>
    <x v="32"/>
    <x v="32"/>
    <x v="11"/>
    <x v="11"/>
    <x v="11"/>
    <x v="5"/>
    <x v="368"/>
    <x v="249"/>
    <x v="91"/>
    <x v="394"/>
    <x v="293"/>
    <x v="319"/>
    <x v="2"/>
  </r>
  <r>
    <x v="0"/>
    <x v="32"/>
    <x v="32"/>
    <x v="8"/>
    <x v="8"/>
    <x v="8"/>
    <x v="5"/>
    <x v="368"/>
    <x v="249"/>
    <x v="154"/>
    <x v="395"/>
    <x v="223"/>
    <x v="309"/>
    <x v="2"/>
  </r>
  <r>
    <x v="0"/>
    <x v="32"/>
    <x v="32"/>
    <x v="10"/>
    <x v="10"/>
    <x v="10"/>
    <x v="7"/>
    <x v="342"/>
    <x v="269"/>
    <x v="206"/>
    <x v="396"/>
    <x v="295"/>
    <x v="320"/>
    <x v="2"/>
  </r>
  <r>
    <x v="0"/>
    <x v="32"/>
    <x v="32"/>
    <x v="4"/>
    <x v="4"/>
    <x v="4"/>
    <x v="8"/>
    <x v="373"/>
    <x v="104"/>
    <x v="57"/>
    <x v="93"/>
    <x v="120"/>
    <x v="321"/>
    <x v="2"/>
  </r>
  <r>
    <x v="0"/>
    <x v="32"/>
    <x v="32"/>
    <x v="5"/>
    <x v="5"/>
    <x v="5"/>
    <x v="9"/>
    <x v="370"/>
    <x v="94"/>
    <x v="47"/>
    <x v="176"/>
    <x v="187"/>
    <x v="207"/>
    <x v="2"/>
  </r>
  <r>
    <x v="0"/>
    <x v="32"/>
    <x v="32"/>
    <x v="49"/>
    <x v="49"/>
    <x v="49"/>
    <x v="10"/>
    <x v="374"/>
    <x v="107"/>
    <x v="53"/>
    <x v="9"/>
    <x v="122"/>
    <x v="302"/>
    <x v="2"/>
  </r>
  <r>
    <x v="0"/>
    <x v="32"/>
    <x v="32"/>
    <x v="16"/>
    <x v="16"/>
    <x v="16"/>
    <x v="11"/>
    <x v="375"/>
    <x v="124"/>
    <x v="72"/>
    <x v="137"/>
    <x v="305"/>
    <x v="80"/>
    <x v="2"/>
  </r>
  <r>
    <x v="0"/>
    <x v="32"/>
    <x v="32"/>
    <x v="9"/>
    <x v="9"/>
    <x v="9"/>
    <x v="11"/>
    <x v="375"/>
    <x v="124"/>
    <x v="57"/>
    <x v="93"/>
    <x v="187"/>
    <x v="207"/>
    <x v="2"/>
  </r>
  <r>
    <x v="0"/>
    <x v="32"/>
    <x v="32"/>
    <x v="40"/>
    <x v="40"/>
    <x v="40"/>
    <x v="11"/>
    <x v="375"/>
    <x v="124"/>
    <x v="94"/>
    <x v="284"/>
    <x v="223"/>
    <x v="309"/>
    <x v="2"/>
  </r>
  <r>
    <x v="0"/>
    <x v="32"/>
    <x v="32"/>
    <x v="36"/>
    <x v="36"/>
    <x v="36"/>
    <x v="14"/>
    <x v="376"/>
    <x v="222"/>
    <x v="45"/>
    <x v="397"/>
    <x v="147"/>
    <x v="172"/>
    <x v="2"/>
  </r>
  <r>
    <x v="0"/>
    <x v="32"/>
    <x v="32"/>
    <x v="63"/>
    <x v="63"/>
    <x v="63"/>
    <x v="15"/>
    <x v="377"/>
    <x v="16"/>
    <x v="69"/>
    <x v="398"/>
    <x v="305"/>
    <x v="80"/>
    <x v="2"/>
  </r>
  <r>
    <x v="0"/>
    <x v="32"/>
    <x v="32"/>
    <x v="7"/>
    <x v="7"/>
    <x v="7"/>
    <x v="16"/>
    <x v="378"/>
    <x v="126"/>
    <x v="72"/>
    <x v="137"/>
    <x v="168"/>
    <x v="322"/>
    <x v="2"/>
  </r>
  <r>
    <x v="0"/>
    <x v="32"/>
    <x v="32"/>
    <x v="39"/>
    <x v="39"/>
    <x v="39"/>
    <x v="17"/>
    <x v="379"/>
    <x v="140"/>
    <x v="47"/>
    <x v="176"/>
    <x v="305"/>
    <x v="80"/>
    <x v="2"/>
  </r>
  <r>
    <x v="0"/>
    <x v="32"/>
    <x v="32"/>
    <x v="51"/>
    <x v="51"/>
    <x v="51"/>
    <x v="18"/>
    <x v="380"/>
    <x v="270"/>
    <x v="68"/>
    <x v="48"/>
    <x v="313"/>
    <x v="274"/>
    <x v="2"/>
  </r>
  <r>
    <x v="0"/>
    <x v="32"/>
    <x v="32"/>
    <x v="20"/>
    <x v="20"/>
    <x v="20"/>
    <x v="19"/>
    <x v="381"/>
    <x v="271"/>
    <x v="68"/>
    <x v="48"/>
    <x v="102"/>
    <x v="83"/>
    <x v="2"/>
  </r>
  <r>
    <x v="0"/>
    <x v="32"/>
    <x v="32"/>
    <x v="41"/>
    <x v="41"/>
    <x v="41"/>
    <x v="19"/>
    <x v="381"/>
    <x v="271"/>
    <x v="69"/>
    <x v="398"/>
    <x v="246"/>
    <x v="175"/>
    <x v="2"/>
  </r>
  <r>
    <x v="0"/>
    <x v="32"/>
    <x v="32"/>
    <x v="19"/>
    <x v="19"/>
    <x v="19"/>
    <x v="19"/>
    <x v="381"/>
    <x v="271"/>
    <x v="44"/>
    <x v="399"/>
    <x v="295"/>
    <x v="320"/>
    <x v="2"/>
  </r>
  <r>
    <x v="0"/>
    <x v="33"/>
    <x v="33"/>
    <x v="0"/>
    <x v="0"/>
    <x v="0"/>
    <x v="0"/>
    <x v="315"/>
    <x v="272"/>
    <x v="267"/>
    <x v="400"/>
    <x v="314"/>
    <x v="323"/>
    <x v="2"/>
  </r>
  <r>
    <x v="0"/>
    <x v="33"/>
    <x v="33"/>
    <x v="4"/>
    <x v="4"/>
    <x v="4"/>
    <x v="1"/>
    <x v="169"/>
    <x v="234"/>
    <x v="57"/>
    <x v="353"/>
    <x v="315"/>
    <x v="318"/>
    <x v="2"/>
  </r>
  <r>
    <x v="0"/>
    <x v="33"/>
    <x v="33"/>
    <x v="2"/>
    <x v="2"/>
    <x v="2"/>
    <x v="1"/>
    <x v="169"/>
    <x v="234"/>
    <x v="117"/>
    <x v="236"/>
    <x v="138"/>
    <x v="147"/>
    <x v="2"/>
  </r>
  <r>
    <x v="0"/>
    <x v="33"/>
    <x v="33"/>
    <x v="6"/>
    <x v="6"/>
    <x v="6"/>
    <x v="3"/>
    <x v="268"/>
    <x v="198"/>
    <x v="265"/>
    <x v="401"/>
    <x v="179"/>
    <x v="47"/>
    <x v="2"/>
  </r>
  <r>
    <x v="0"/>
    <x v="33"/>
    <x v="33"/>
    <x v="1"/>
    <x v="1"/>
    <x v="1"/>
    <x v="4"/>
    <x v="336"/>
    <x v="87"/>
    <x v="81"/>
    <x v="366"/>
    <x v="190"/>
    <x v="236"/>
    <x v="2"/>
  </r>
  <r>
    <x v="0"/>
    <x v="33"/>
    <x v="33"/>
    <x v="8"/>
    <x v="8"/>
    <x v="8"/>
    <x v="5"/>
    <x v="382"/>
    <x v="157"/>
    <x v="17"/>
    <x v="402"/>
    <x v="81"/>
    <x v="324"/>
    <x v="2"/>
  </r>
  <r>
    <x v="0"/>
    <x v="33"/>
    <x v="33"/>
    <x v="3"/>
    <x v="3"/>
    <x v="3"/>
    <x v="6"/>
    <x v="366"/>
    <x v="153"/>
    <x v="268"/>
    <x v="403"/>
    <x v="61"/>
    <x v="269"/>
    <x v="2"/>
  </r>
  <r>
    <x v="0"/>
    <x v="33"/>
    <x v="33"/>
    <x v="11"/>
    <x v="11"/>
    <x v="11"/>
    <x v="7"/>
    <x v="383"/>
    <x v="261"/>
    <x v="131"/>
    <x v="278"/>
    <x v="115"/>
    <x v="73"/>
    <x v="2"/>
  </r>
  <r>
    <x v="0"/>
    <x v="33"/>
    <x v="33"/>
    <x v="40"/>
    <x v="40"/>
    <x v="40"/>
    <x v="8"/>
    <x v="280"/>
    <x v="7"/>
    <x v="46"/>
    <x v="399"/>
    <x v="81"/>
    <x v="324"/>
    <x v="2"/>
  </r>
  <r>
    <x v="0"/>
    <x v="33"/>
    <x v="33"/>
    <x v="9"/>
    <x v="9"/>
    <x v="9"/>
    <x v="9"/>
    <x v="384"/>
    <x v="166"/>
    <x v="45"/>
    <x v="69"/>
    <x v="292"/>
    <x v="26"/>
    <x v="2"/>
  </r>
  <r>
    <x v="0"/>
    <x v="33"/>
    <x v="33"/>
    <x v="7"/>
    <x v="7"/>
    <x v="7"/>
    <x v="10"/>
    <x v="341"/>
    <x v="113"/>
    <x v="227"/>
    <x v="226"/>
    <x v="190"/>
    <x v="236"/>
    <x v="2"/>
  </r>
  <r>
    <x v="0"/>
    <x v="33"/>
    <x v="33"/>
    <x v="10"/>
    <x v="10"/>
    <x v="10"/>
    <x v="11"/>
    <x v="353"/>
    <x v="182"/>
    <x v="269"/>
    <x v="392"/>
    <x v="234"/>
    <x v="34"/>
    <x v="2"/>
  </r>
  <r>
    <x v="0"/>
    <x v="33"/>
    <x v="33"/>
    <x v="12"/>
    <x v="12"/>
    <x v="12"/>
    <x v="12"/>
    <x v="354"/>
    <x v="94"/>
    <x v="53"/>
    <x v="4"/>
    <x v="249"/>
    <x v="61"/>
    <x v="2"/>
  </r>
  <r>
    <x v="0"/>
    <x v="33"/>
    <x v="33"/>
    <x v="45"/>
    <x v="45"/>
    <x v="45"/>
    <x v="13"/>
    <x v="285"/>
    <x v="29"/>
    <x v="69"/>
    <x v="254"/>
    <x v="139"/>
    <x v="153"/>
    <x v="2"/>
  </r>
  <r>
    <x v="0"/>
    <x v="33"/>
    <x v="33"/>
    <x v="17"/>
    <x v="17"/>
    <x v="17"/>
    <x v="14"/>
    <x v="357"/>
    <x v="31"/>
    <x v="45"/>
    <x v="69"/>
    <x v="139"/>
    <x v="153"/>
    <x v="2"/>
  </r>
  <r>
    <x v="0"/>
    <x v="33"/>
    <x v="33"/>
    <x v="14"/>
    <x v="14"/>
    <x v="14"/>
    <x v="15"/>
    <x v="344"/>
    <x v="49"/>
    <x v="72"/>
    <x v="275"/>
    <x v="41"/>
    <x v="325"/>
    <x v="2"/>
  </r>
  <r>
    <x v="0"/>
    <x v="33"/>
    <x v="33"/>
    <x v="5"/>
    <x v="5"/>
    <x v="5"/>
    <x v="16"/>
    <x v="346"/>
    <x v="96"/>
    <x v="53"/>
    <x v="4"/>
    <x v="135"/>
    <x v="317"/>
    <x v="2"/>
  </r>
  <r>
    <x v="0"/>
    <x v="33"/>
    <x v="33"/>
    <x v="36"/>
    <x v="36"/>
    <x v="36"/>
    <x v="17"/>
    <x v="347"/>
    <x v="81"/>
    <x v="70"/>
    <x v="312"/>
    <x v="87"/>
    <x v="326"/>
    <x v="2"/>
  </r>
  <r>
    <x v="0"/>
    <x v="33"/>
    <x v="33"/>
    <x v="18"/>
    <x v="18"/>
    <x v="18"/>
    <x v="17"/>
    <x v="347"/>
    <x v="81"/>
    <x v="68"/>
    <x v="125"/>
    <x v="138"/>
    <x v="147"/>
    <x v="3"/>
  </r>
  <r>
    <x v="0"/>
    <x v="33"/>
    <x v="33"/>
    <x v="43"/>
    <x v="43"/>
    <x v="43"/>
    <x v="19"/>
    <x v="358"/>
    <x v="50"/>
    <x v="45"/>
    <x v="69"/>
    <x v="226"/>
    <x v="146"/>
    <x v="2"/>
  </r>
  <r>
    <x v="0"/>
    <x v="33"/>
    <x v="33"/>
    <x v="19"/>
    <x v="19"/>
    <x v="19"/>
    <x v="19"/>
    <x v="358"/>
    <x v="50"/>
    <x v="141"/>
    <x v="404"/>
    <x v="150"/>
    <x v="232"/>
    <x v="2"/>
  </r>
  <r>
    <x v="0"/>
    <x v="34"/>
    <x v="34"/>
    <x v="0"/>
    <x v="0"/>
    <x v="0"/>
    <x v="0"/>
    <x v="251"/>
    <x v="273"/>
    <x v="96"/>
    <x v="405"/>
    <x v="316"/>
    <x v="327"/>
    <x v="2"/>
  </r>
  <r>
    <x v="0"/>
    <x v="34"/>
    <x v="34"/>
    <x v="2"/>
    <x v="2"/>
    <x v="2"/>
    <x v="1"/>
    <x v="333"/>
    <x v="274"/>
    <x v="33"/>
    <x v="406"/>
    <x v="297"/>
    <x v="313"/>
    <x v="2"/>
  </r>
  <r>
    <x v="0"/>
    <x v="34"/>
    <x v="34"/>
    <x v="8"/>
    <x v="8"/>
    <x v="8"/>
    <x v="2"/>
    <x v="115"/>
    <x v="41"/>
    <x v="124"/>
    <x v="407"/>
    <x v="312"/>
    <x v="163"/>
    <x v="3"/>
  </r>
  <r>
    <x v="0"/>
    <x v="34"/>
    <x v="34"/>
    <x v="6"/>
    <x v="6"/>
    <x v="6"/>
    <x v="3"/>
    <x v="77"/>
    <x v="133"/>
    <x v="270"/>
    <x v="288"/>
    <x v="121"/>
    <x v="296"/>
    <x v="2"/>
  </r>
  <r>
    <x v="0"/>
    <x v="34"/>
    <x v="34"/>
    <x v="4"/>
    <x v="4"/>
    <x v="4"/>
    <x v="4"/>
    <x v="164"/>
    <x v="237"/>
    <x v="47"/>
    <x v="12"/>
    <x v="166"/>
    <x v="328"/>
    <x v="2"/>
  </r>
  <r>
    <x v="0"/>
    <x v="34"/>
    <x v="34"/>
    <x v="11"/>
    <x v="11"/>
    <x v="11"/>
    <x v="5"/>
    <x v="385"/>
    <x v="181"/>
    <x v="222"/>
    <x v="160"/>
    <x v="223"/>
    <x v="142"/>
    <x v="2"/>
  </r>
  <r>
    <x v="0"/>
    <x v="34"/>
    <x v="34"/>
    <x v="1"/>
    <x v="1"/>
    <x v="1"/>
    <x v="6"/>
    <x v="121"/>
    <x v="77"/>
    <x v="271"/>
    <x v="47"/>
    <x v="73"/>
    <x v="8"/>
    <x v="2"/>
  </r>
  <r>
    <x v="0"/>
    <x v="34"/>
    <x v="34"/>
    <x v="14"/>
    <x v="14"/>
    <x v="14"/>
    <x v="7"/>
    <x v="169"/>
    <x v="242"/>
    <x v="252"/>
    <x v="408"/>
    <x v="171"/>
    <x v="46"/>
    <x v="5"/>
  </r>
  <r>
    <x v="0"/>
    <x v="34"/>
    <x v="34"/>
    <x v="7"/>
    <x v="7"/>
    <x v="7"/>
    <x v="8"/>
    <x v="187"/>
    <x v="192"/>
    <x v="272"/>
    <x v="409"/>
    <x v="235"/>
    <x v="45"/>
    <x v="2"/>
  </r>
  <r>
    <x v="0"/>
    <x v="34"/>
    <x v="34"/>
    <x v="5"/>
    <x v="5"/>
    <x v="5"/>
    <x v="9"/>
    <x v="386"/>
    <x v="239"/>
    <x v="49"/>
    <x v="274"/>
    <x v="317"/>
    <x v="329"/>
    <x v="2"/>
  </r>
  <r>
    <x v="0"/>
    <x v="34"/>
    <x v="34"/>
    <x v="45"/>
    <x v="45"/>
    <x v="45"/>
    <x v="10"/>
    <x v="318"/>
    <x v="114"/>
    <x v="69"/>
    <x v="46"/>
    <x v="124"/>
    <x v="330"/>
    <x v="2"/>
  </r>
  <r>
    <x v="0"/>
    <x v="34"/>
    <x v="34"/>
    <x v="3"/>
    <x v="3"/>
    <x v="3"/>
    <x v="11"/>
    <x v="155"/>
    <x v="48"/>
    <x v="132"/>
    <x v="30"/>
    <x v="313"/>
    <x v="40"/>
    <x v="2"/>
  </r>
  <r>
    <x v="0"/>
    <x v="34"/>
    <x v="34"/>
    <x v="9"/>
    <x v="9"/>
    <x v="9"/>
    <x v="12"/>
    <x v="276"/>
    <x v="137"/>
    <x v="45"/>
    <x v="44"/>
    <x v="160"/>
    <x v="229"/>
    <x v="2"/>
  </r>
  <r>
    <x v="0"/>
    <x v="34"/>
    <x v="34"/>
    <x v="43"/>
    <x v="43"/>
    <x v="43"/>
    <x v="13"/>
    <x v="336"/>
    <x v="115"/>
    <x v="70"/>
    <x v="27"/>
    <x v="318"/>
    <x v="331"/>
    <x v="2"/>
  </r>
  <r>
    <x v="0"/>
    <x v="34"/>
    <x v="34"/>
    <x v="17"/>
    <x v="17"/>
    <x v="17"/>
    <x v="14"/>
    <x v="269"/>
    <x v="106"/>
    <x v="68"/>
    <x v="18"/>
    <x v="132"/>
    <x v="199"/>
    <x v="2"/>
  </r>
  <r>
    <x v="0"/>
    <x v="34"/>
    <x v="34"/>
    <x v="64"/>
    <x v="64"/>
    <x v="64"/>
    <x v="15"/>
    <x v="156"/>
    <x v="147"/>
    <x v="49"/>
    <x v="274"/>
    <x v="137"/>
    <x v="286"/>
    <x v="2"/>
  </r>
  <r>
    <x v="0"/>
    <x v="34"/>
    <x v="34"/>
    <x v="63"/>
    <x v="63"/>
    <x v="63"/>
    <x v="16"/>
    <x v="157"/>
    <x v="194"/>
    <x v="152"/>
    <x v="410"/>
    <x v="235"/>
    <x v="45"/>
    <x v="2"/>
  </r>
  <r>
    <x v="0"/>
    <x v="34"/>
    <x v="34"/>
    <x v="68"/>
    <x v="68"/>
    <x v="68"/>
    <x v="17"/>
    <x v="243"/>
    <x v="95"/>
    <x v="220"/>
    <x v="411"/>
    <x v="306"/>
    <x v="221"/>
    <x v="2"/>
  </r>
  <r>
    <x v="0"/>
    <x v="34"/>
    <x v="34"/>
    <x v="10"/>
    <x v="10"/>
    <x v="10"/>
    <x v="18"/>
    <x v="356"/>
    <x v="124"/>
    <x v="116"/>
    <x v="412"/>
    <x v="225"/>
    <x v="65"/>
    <x v="2"/>
  </r>
  <r>
    <x v="0"/>
    <x v="34"/>
    <x v="34"/>
    <x v="36"/>
    <x v="36"/>
    <x v="36"/>
    <x v="19"/>
    <x v="371"/>
    <x v="32"/>
    <x v="43"/>
    <x v="61"/>
    <x v="154"/>
    <x v="15"/>
    <x v="2"/>
  </r>
  <r>
    <x v="0"/>
    <x v="35"/>
    <x v="35"/>
    <x v="0"/>
    <x v="0"/>
    <x v="0"/>
    <x v="0"/>
    <x v="168"/>
    <x v="275"/>
    <x v="125"/>
    <x v="200"/>
    <x v="304"/>
    <x v="332"/>
    <x v="2"/>
  </r>
  <r>
    <x v="0"/>
    <x v="35"/>
    <x v="35"/>
    <x v="6"/>
    <x v="6"/>
    <x v="6"/>
    <x v="1"/>
    <x v="372"/>
    <x v="276"/>
    <x v="176"/>
    <x v="413"/>
    <x v="115"/>
    <x v="299"/>
    <x v="2"/>
  </r>
  <r>
    <x v="0"/>
    <x v="35"/>
    <x v="35"/>
    <x v="2"/>
    <x v="2"/>
    <x v="2"/>
    <x v="2"/>
    <x v="282"/>
    <x v="256"/>
    <x v="149"/>
    <x v="414"/>
    <x v="305"/>
    <x v="150"/>
    <x v="2"/>
  </r>
  <r>
    <x v="0"/>
    <x v="35"/>
    <x v="35"/>
    <x v="4"/>
    <x v="4"/>
    <x v="4"/>
    <x v="3"/>
    <x v="347"/>
    <x v="277"/>
    <x v="68"/>
    <x v="74"/>
    <x v="135"/>
    <x v="333"/>
    <x v="2"/>
  </r>
  <r>
    <x v="0"/>
    <x v="35"/>
    <x v="35"/>
    <x v="1"/>
    <x v="1"/>
    <x v="1"/>
    <x v="4"/>
    <x v="387"/>
    <x v="278"/>
    <x v="125"/>
    <x v="200"/>
    <x v="225"/>
    <x v="128"/>
    <x v="2"/>
  </r>
  <r>
    <x v="0"/>
    <x v="35"/>
    <x v="35"/>
    <x v="8"/>
    <x v="8"/>
    <x v="8"/>
    <x v="5"/>
    <x v="359"/>
    <x v="112"/>
    <x v="267"/>
    <x v="415"/>
    <x v="225"/>
    <x v="128"/>
    <x v="2"/>
  </r>
  <r>
    <x v="0"/>
    <x v="35"/>
    <x v="35"/>
    <x v="3"/>
    <x v="3"/>
    <x v="3"/>
    <x v="6"/>
    <x v="361"/>
    <x v="279"/>
    <x v="199"/>
    <x v="23"/>
    <x v="115"/>
    <x v="299"/>
    <x v="2"/>
  </r>
  <r>
    <x v="0"/>
    <x v="35"/>
    <x v="35"/>
    <x v="9"/>
    <x v="9"/>
    <x v="9"/>
    <x v="7"/>
    <x v="364"/>
    <x v="238"/>
    <x v="56"/>
    <x v="52"/>
    <x v="306"/>
    <x v="334"/>
    <x v="2"/>
  </r>
  <r>
    <x v="0"/>
    <x v="35"/>
    <x v="35"/>
    <x v="7"/>
    <x v="7"/>
    <x v="7"/>
    <x v="8"/>
    <x v="365"/>
    <x v="89"/>
    <x v="139"/>
    <x v="207"/>
    <x v="203"/>
    <x v="49"/>
    <x v="2"/>
  </r>
  <r>
    <x v="0"/>
    <x v="35"/>
    <x v="35"/>
    <x v="11"/>
    <x v="11"/>
    <x v="11"/>
    <x v="8"/>
    <x v="365"/>
    <x v="89"/>
    <x v="227"/>
    <x v="416"/>
    <x v="295"/>
    <x v="320"/>
    <x v="2"/>
  </r>
  <r>
    <x v="0"/>
    <x v="35"/>
    <x v="35"/>
    <x v="40"/>
    <x v="40"/>
    <x v="40"/>
    <x v="10"/>
    <x v="388"/>
    <x v="251"/>
    <x v="140"/>
    <x v="417"/>
    <x v="263"/>
    <x v="32"/>
    <x v="2"/>
  </r>
  <r>
    <x v="0"/>
    <x v="35"/>
    <x v="35"/>
    <x v="5"/>
    <x v="5"/>
    <x v="5"/>
    <x v="11"/>
    <x v="389"/>
    <x v="104"/>
    <x v="45"/>
    <x v="285"/>
    <x v="122"/>
    <x v="46"/>
    <x v="2"/>
  </r>
  <r>
    <x v="0"/>
    <x v="35"/>
    <x v="35"/>
    <x v="48"/>
    <x v="48"/>
    <x v="48"/>
    <x v="12"/>
    <x v="376"/>
    <x v="106"/>
    <x v="52"/>
    <x v="418"/>
    <x v="150"/>
    <x v="174"/>
    <x v="2"/>
  </r>
  <r>
    <x v="0"/>
    <x v="35"/>
    <x v="35"/>
    <x v="14"/>
    <x v="14"/>
    <x v="14"/>
    <x v="13"/>
    <x v="390"/>
    <x v="95"/>
    <x v="51"/>
    <x v="419"/>
    <x v="313"/>
    <x v="240"/>
    <x v="2"/>
  </r>
  <r>
    <x v="0"/>
    <x v="35"/>
    <x v="35"/>
    <x v="41"/>
    <x v="41"/>
    <x v="41"/>
    <x v="14"/>
    <x v="377"/>
    <x v="32"/>
    <x v="47"/>
    <x v="341"/>
    <x v="61"/>
    <x v="184"/>
    <x v="2"/>
  </r>
  <r>
    <x v="0"/>
    <x v="35"/>
    <x v="35"/>
    <x v="18"/>
    <x v="18"/>
    <x v="18"/>
    <x v="14"/>
    <x v="377"/>
    <x v="32"/>
    <x v="57"/>
    <x v="64"/>
    <x v="149"/>
    <x v="335"/>
    <x v="2"/>
  </r>
  <r>
    <x v="0"/>
    <x v="35"/>
    <x v="35"/>
    <x v="12"/>
    <x v="12"/>
    <x v="12"/>
    <x v="16"/>
    <x v="378"/>
    <x v="96"/>
    <x v="57"/>
    <x v="64"/>
    <x v="147"/>
    <x v="120"/>
    <x v="2"/>
  </r>
  <r>
    <x v="0"/>
    <x v="35"/>
    <x v="35"/>
    <x v="19"/>
    <x v="19"/>
    <x v="19"/>
    <x v="16"/>
    <x v="378"/>
    <x v="96"/>
    <x v="104"/>
    <x v="420"/>
    <x v="294"/>
    <x v="73"/>
    <x v="2"/>
  </r>
  <r>
    <x v="0"/>
    <x v="35"/>
    <x v="35"/>
    <x v="16"/>
    <x v="16"/>
    <x v="16"/>
    <x v="18"/>
    <x v="391"/>
    <x v="50"/>
    <x v="63"/>
    <x v="313"/>
    <x v="130"/>
    <x v="6"/>
    <x v="2"/>
  </r>
  <r>
    <x v="0"/>
    <x v="35"/>
    <x v="35"/>
    <x v="10"/>
    <x v="10"/>
    <x v="10"/>
    <x v="18"/>
    <x v="391"/>
    <x v="50"/>
    <x v="44"/>
    <x v="421"/>
    <x v="293"/>
    <x v="65"/>
    <x v="2"/>
  </r>
  <r>
    <x v="0"/>
    <x v="36"/>
    <x v="36"/>
    <x v="0"/>
    <x v="0"/>
    <x v="0"/>
    <x v="0"/>
    <x v="240"/>
    <x v="280"/>
    <x v="249"/>
    <x v="422"/>
    <x v="258"/>
    <x v="293"/>
    <x v="2"/>
  </r>
  <r>
    <x v="0"/>
    <x v="36"/>
    <x v="36"/>
    <x v="2"/>
    <x v="2"/>
    <x v="2"/>
    <x v="1"/>
    <x v="267"/>
    <x v="167"/>
    <x v="273"/>
    <x v="423"/>
    <x v="190"/>
    <x v="50"/>
    <x v="2"/>
  </r>
  <r>
    <x v="0"/>
    <x v="36"/>
    <x v="36"/>
    <x v="8"/>
    <x v="8"/>
    <x v="8"/>
    <x v="2"/>
    <x v="392"/>
    <x v="281"/>
    <x v="249"/>
    <x v="422"/>
    <x v="305"/>
    <x v="336"/>
    <x v="2"/>
  </r>
  <r>
    <x v="0"/>
    <x v="36"/>
    <x v="36"/>
    <x v="11"/>
    <x v="11"/>
    <x v="11"/>
    <x v="3"/>
    <x v="271"/>
    <x v="197"/>
    <x v="138"/>
    <x v="424"/>
    <x v="115"/>
    <x v="337"/>
    <x v="2"/>
  </r>
  <r>
    <x v="0"/>
    <x v="36"/>
    <x v="36"/>
    <x v="4"/>
    <x v="4"/>
    <x v="4"/>
    <x v="4"/>
    <x v="339"/>
    <x v="282"/>
    <x v="57"/>
    <x v="18"/>
    <x v="162"/>
    <x v="338"/>
    <x v="2"/>
  </r>
  <r>
    <x v="0"/>
    <x v="36"/>
    <x v="36"/>
    <x v="6"/>
    <x v="6"/>
    <x v="6"/>
    <x v="5"/>
    <x v="393"/>
    <x v="133"/>
    <x v="188"/>
    <x v="425"/>
    <x v="123"/>
    <x v="299"/>
    <x v="2"/>
  </r>
  <r>
    <x v="0"/>
    <x v="36"/>
    <x v="36"/>
    <x v="3"/>
    <x v="3"/>
    <x v="3"/>
    <x v="6"/>
    <x v="352"/>
    <x v="172"/>
    <x v="268"/>
    <x v="426"/>
    <x v="123"/>
    <x v="299"/>
    <x v="2"/>
  </r>
  <r>
    <x v="0"/>
    <x v="36"/>
    <x v="36"/>
    <x v="1"/>
    <x v="1"/>
    <x v="1"/>
    <x v="7"/>
    <x v="354"/>
    <x v="263"/>
    <x v="258"/>
    <x v="386"/>
    <x v="123"/>
    <x v="299"/>
    <x v="2"/>
  </r>
  <r>
    <x v="0"/>
    <x v="36"/>
    <x v="36"/>
    <x v="16"/>
    <x v="16"/>
    <x v="16"/>
    <x v="8"/>
    <x v="359"/>
    <x v="123"/>
    <x v="104"/>
    <x v="124"/>
    <x v="187"/>
    <x v="45"/>
    <x v="2"/>
  </r>
  <r>
    <x v="0"/>
    <x v="36"/>
    <x v="36"/>
    <x v="49"/>
    <x v="49"/>
    <x v="49"/>
    <x v="9"/>
    <x v="360"/>
    <x v="113"/>
    <x v="68"/>
    <x v="198"/>
    <x v="319"/>
    <x v="283"/>
    <x v="2"/>
  </r>
  <r>
    <x v="0"/>
    <x v="36"/>
    <x v="36"/>
    <x v="43"/>
    <x v="43"/>
    <x v="43"/>
    <x v="10"/>
    <x v="361"/>
    <x v="93"/>
    <x v="45"/>
    <x v="132"/>
    <x v="81"/>
    <x v="339"/>
    <x v="2"/>
  </r>
  <r>
    <x v="0"/>
    <x v="36"/>
    <x v="36"/>
    <x v="68"/>
    <x v="68"/>
    <x v="68"/>
    <x v="11"/>
    <x v="362"/>
    <x v="10"/>
    <x v="266"/>
    <x v="7"/>
    <x v="168"/>
    <x v="118"/>
    <x v="2"/>
  </r>
  <r>
    <x v="0"/>
    <x v="36"/>
    <x v="36"/>
    <x v="7"/>
    <x v="7"/>
    <x v="7"/>
    <x v="12"/>
    <x v="394"/>
    <x v="11"/>
    <x v="189"/>
    <x v="427"/>
    <x v="102"/>
    <x v="289"/>
    <x v="2"/>
  </r>
  <r>
    <x v="0"/>
    <x v="36"/>
    <x v="36"/>
    <x v="63"/>
    <x v="63"/>
    <x v="63"/>
    <x v="13"/>
    <x v="364"/>
    <x v="125"/>
    <x v="43"/>
    <x v="428"/>
    <x v="187"/>
    <x v="45"/>
    <x v="2"/>
  </r>
  <r>
    <x v="0"/>
    <x v="36"/>
    <x v="36"/>
    <x v="5"/>
    <x v="5"/>
    <x v="5"/>
    <x v="13"/>
    <x v="364"/>
    <x v="125"/>
    <x v="68"/>
    <x v="198"/>
    <x v="251"/>
    <x v="28"/>
    <x v="2"/>
  </r>
  <r>
    <x v="0"/>
    <x v="36"/>
    <x v="36"/>
    <x v="14"/>
    <x v="14"/>
    <x v="14"/>
    <x v="13"/>
    <x v="364"/>
    <x v="125"/>
    <x v="51"/>
    <x v="176"/>
    <x v="299"/>
    <x v="36"/>
    <x v="3"/>
  </r>
  <r>
    <x v="0"/>
    <x v="36"/>
    <x v="36"/>
    <x v="40"/>
    <x v="40"/>
    <x v="40"/>
    <x v="16"/>
    <x v="365"/>
    <x v="222"/>
    <x v="139"/>
    <x v="374"/>
    <x v="203"/>
    <x v="27"/>
    <x v="2"/>
  </r>
  <r>
    <x v="0"/>
    <x v="36"/>
    <x v="36"/>
    <x v="12"/>
    <x v="12"/>
    <x v="12"/>
    <x v="17"/>
    <x v="395"/>
    <x v="96"/>
    <x v="68"/>
    <x v="198"/>
    <x v="121"/>
    <x v="12"/>
    <x v="2"/>
  </r>
  <r>
    <x v="0"/>
    <x v="36"/>
    <x v="36"/>
    <x v="19"/>
    <x v="19"/>
    <x v="19"/>
    <x v="18"/>
    <x v="396"/>
    <x v="14"/>
    <x v="55"/>
    <x v="429"/>
    <x v="320"/>
    <x v="340"/>
    <x v="2"/>
  </r>
  <r>
    <x v="0"/>
    <x v="36"/>
    <x v="36"/>
    <x v="39"/>
    <x v="39"/>
    <x v="39"/>
    <x v="19"/>
    <x v="388"/>
    <x v="16"/>
    <x v="69"/>
    <x v="271"/>
    <x v="187"/>
    <x v="45"/>
    <x v="2"/>
  </r>
  <r>
    <x v="0"/>
    <x v="36"/>
    <x v="36"/>
    <x v="36"/>
    <x v="36"/>
    <x v="36"/>
    <x v="19"/>
    <x v="388"/>
    <x v="16"/>
    <x v="47"/>
    <x v="40"/>
    <x v="299"/>
    <x v="36"/>
    <x v="2"/>
  </r>
  <r>
    <x v="0"/>
    <x v="37"/>
    <x v="37"/>
    <x v="0"/>
    <x v="0"/>
    <x v="0"/>
    <x v="0"/>
    <x v="201"/>
    <x v="283"/>
    <x v="208"/>
    <x v="430"/>
    <x v="227"/>
    <x v="341"/>
    <x v="2"/>
  </r>
  <r>
    <x v="0"/>
    <x v="37"/>
    <x v="37"/>
    <x v="2"/>
    <x v="2"/>
    <x v="2"/>
    <x v="1"/>
    <x v="267"/>
    <x v="284"/>
    <x v="211"/>
    <x v="431"/>
    <x v="61"/>
    <x v="246"/>
    <x v="2"/>
  </r>
  <r>
    <x v="0"/>
    <x v="37"/>
    <x v="37"/>
    <x v="8"/>
    <x v="8"/>
    <x v="8"/>
    <x v="2"/>
    <x v="397"/>
    <x v="285"/>
    <x v="273"/>
    <x v="236"/>
    <x v="102"/>
    <x v="309"/>
    <x v="2"/>
  </r>
  <r>
    <x v="0"/>
    <x v="37"/>
    <x v="37"/>
    <x v="6"/>
    <x v="6"/>
    <x v="6"/>
    <x v="3"/>
    <x v="339"/>
    <x v="286"/>
    <x v="181"/>
    <x v="432"/>
    <x v="123"/>
    <x v="95"/>
    <x v="2"/>
  </r>
  <r>
    <x v="0"/>
    <x v="37"/>
    <x v="37"/>
    <x v="1"/>
    <x v="1"/>
    <x v="1"/>
    <x v="4"/>
    <x v="341"/>
    <x v="101"/>
    <x v="149"/>
    <x v="433"/>
    <x v="225"/>
    <x v="144"/>
    <x v="2"/>
  </r>
  <r>
    <x v="0"/>
    <x v="37"/>
    <x v="37"/>
    <x v="4"/>
    <x v="4"/>
    <x v="4"/>
    <x v="5"/>
    <x v="353"/>
    <x v="258"/>
    <x v="68"/>
    <x v="125"/>
    <x v="169"/>
    <x v="71"/>
    <x v="2"/>
  </r>
  <r>
    <x v="0"/>
    <x v="37"/>
    <x v="37"/>
    <x v="11"/>
    <x v="11"/>
    <x v="11"/>
    <x v="6"/>
    <x v="283"/>
    <x v="218"/>
    <x v="128"/>
    <x v="434"/>
    <x v="253"/>
    <x v="342"/>
    <x v="2"/>
  </r>
  <r>
    <x v="0"/>
    <x v="37"/>
    <x v="37"/>
    <x v="68"/>
    <x v="68"/>
    <x v="68"/>
    <x v="7"/>
    <x v="346"/>
    <x v="78"/>
    <x v="199"/>
    <x v="435"/>
    <x v="223"/>
    <x v="16"/>
    <x v="2"/>
  </r>
  <r>
    <x v="0"/>
    <x v="37"/>
    <x v="37"/>
    <x v="14"/>
    <x v="14"/>
    <x v="14"/>
    <x v="8"/>
    <x v="347"/>
    <x v="154"/>
    <x v="63"/>
    <x v="436"/>
    <x v="142"/>
    <x v="343"/>
    <x v="2"/>
  </r>
  <r>
    <x v="0"/>
    <x v="37"/>
    <x v="37"/>
    <x v="3"/>
    <x v="3"/>
    <x v="3"/>
    <x v="9"/>
    <x v="394"/>
    <x v="137"/>
    <x v="109"/>
    <x v="437"/>
    <x v="293"/>
    <x v="344"/>
    <x v="2"/>
  </r>
  <r>
    <x v="0"/>
    <x v="37"/>
    <x v="37"/>
    <x v="45"/>
    <x v="45"/>
    <x v="45"/>
    <x v="10"/>
    <x v="398"/>
    <x v="107"/>
    <x v="49"/>
    <x v="107"/>
    <x v="299"/>
    <x v="270"/>
    <x v="2"/>
  </r>
  <r>
    <x v="0"/>
    <x v="37"/>
    <x v="37"/>
    <x v="17"/>
    <x v="17"/>
    <x v="17"/>
    <x v="11"/>
    <x v="395"/>
    <x v="12"/>
    <x v="56"/>
    <x v="52"/>
    <x v="251"/>
    <x v="345"/>
    <x v="2"/>
  </r>
  <r>
    <x v="0"/>
    <x v="37"/>
    <x v="37"/>
    <x v="7"/>
    <x v="7"/>
    <x v="7"/>
    <x v="11"/>
    <x v="395"/>
    <x v="12"/>
    <x v="52"/>
    <x v="438"/>
    <x v="238"/>
    <x v="87"/>
    <x v="2"/>
  </r>
  <r>
    <x v="0"/>
    <x v="37"/>
    <x v="37"/>
    <x v="12"/>
    <x v="12"/>
    <x v="12"/>
    <x v="13"/>
    <x v="388"/>
    <x v="50"/>
    <x v="45"/>
    <x v="69"/>
    <x v="179"/>
    <x v="159"/>
    <x v="2"/>
  </r>
  <r>
    <x v="0"/>
    <x v="37"/>
    <x v="37"/>
    <x v="43"/>
    <x v="43"/>
    <x v="43"/>
    <x v="14"/>
    <x v="373"/>
    <x v="18"/>
    <x v="51"/>
    <x v="324"/>
    <x v="122"/>
    <x v="101"/>
    <x v="2"/>
  </r>
  <r>
    <x v="0"/>
    <x v="37"/>
    <x v="37"/>
    <x v="19"/>
    <x v="19"/>
    <x v="19"/>
    <x v="14"/>
    <x v="373"/>
    <x v="18"/>
    <x v="174"/>
    <x v="293"/>
    <x v="294"/>
    <x v="183"/>
    <x v="2"/>
  </r>
  <r>
    <x v="0"/>
    <x v="37"/>
    <x v="37"/>
    <x v="5"/>
    <x v="5"/>
    <x v="5"/>
    <x v="16"/>
    <x v="370"/>
    <x v="66"/>
    <x v="51"/>
    <x v="324"/>
    <x v="181"/>
    <x v="37"/>
    <x v="2"/>
  </r>
  <r>
    <x v="0"/>
    <x v="37"/>
    <x v="37"/>
    <x v="64"/>
    <x v="64"/>
    <x v="64"/>
    <x v="17"/>
    <x v="399"/>
    <x v="117"/>
    <x v="47"/>
    <x v="273"/>
    <x v="122"/>
    <x v="101"/>
    <x v="2"/>
  </r>
  <r>
    <x v="0"/>
    <x v="37"/>
    <x v="37"/>
    <x v="40"/>
    <x v="40"/>
    <x v="40"/>
    <x v="17"/>
    <x v="399"/>
    <x v="117"/>
    <x v="140"/>
    <x v="439"/>
    <x v="102"/>
    <x v="309"/>
    <x v="2"/>
  </r>
  <r>
    <x v="0"/>
    <x v="37"/>
    <x v="37"/>
    <x v="69"/>
    <x v="69"/>
    <x v="69"/>
    <x v="19"/>
    <x v="389"/>
    <x v="209"/>
    <x v="43"/>
    <x v="440"/>
    <x v="102"/>
    <x v="309"/>
    <x v="2"/>
  </r>
  <r>
    <x v="0"/>
    <x v="37"/>
    <x v="37"/>
    <x v="41"/>
    <x v="41"/>
    <x v="41"/>
    <x v="19"/>
    <x v="389"/>
    <x v="209"/>
    <x v="51"/>
    <x v="324"/>
    <x v="147"/>
    <x v="66"/>
    <x v="2"/>
  </r>
  <r>
    <x v="0"/>
    <x v="38"/>
    <x v="38"/>
    <x v="2"/>
    <x v="2"/>
    <x v="2"/>
    <x v="0"/>
    <x v="382"/>
    <x v="287"/>
    <x v="117"/>
    <x v="441"/>
    <x v="225"/>
    <x v="309"/>
    <x v="2"/>
  </r>
  <r>
    <x v="0"/>
    <x v="38"/>
    <x v="38"/>
    <x v="0"/>
    <x v="0"/>
    <x v="0"/>
    <x v="1"/>
    <x v="400"/>
    <x v="240"/>
    <x v="266"/>
    <x v="442"/>
    <x v="220"/>
    <x v="346"/>
    <x v="2"/>
  </r>
  <r>
    <x v="0"/>
    <x v="38"/>
    <x v="38"/>
    <x v="3"/>
    <x v="3"/>
    <x v="3"/>
    <x v="2"/>
    <x v="366"/>
    <x v="220"/>
    <x v="74"/>
    <x v="443"/>
    <x v="130"/>
    <x v="245"/>
    <x v="2"/>
  </r>
  <r>
    <x v="0"/>
    <x v="38"/>
    <x v="38"/>
    <x v="6"/>
    <x v="6"/>
    <x v="6"/>
    <x v="3"/>
    <x v="280"/>
    <x v="248"/>
    <x v="268"/>
    <x v="444"/>
    <x v="115"/>
    <x v="261"/>
    <x v="2"/>
  </r>
  <r>
    <x v="0"/>
    <x v="38"/>
    <x v="38"/>
    <x v="8"/>
    <x v="8"/>
    <x v="8"/>
    <x v="4"/>
    <x v="368"/>
    <x v="279"/>
    <x v="168"/>
    <x v="300"/>
    <x v="253"/>
    <x v="79"/>
    <x v="2"/>
  </r>
  <r>
    <x v="0"/>
    <x v="38"/>
    <x v="38"/>
    <x v="1"/>
    <x v="1"/>
    <x v="1"/>
    <x v="5"/>
    <x v="343"/>
    <x v="101"/>
    <x v="109"/>
    <x v="367"/>
    <x v="225"/>
    <x v="309"/>
    <x v="2"/>
  </r>
  <r>
    <x v="0"/>
    <x v="38"/>
    <x v="38"/>
    <x v="11"/>
    <x v="11"/>
    <x v="11"/>
    <x v="6"/>
    <x v="346"/>
    <x v="288"/>
    <x v="127"/>
    <x v="392"/>
    <x v="234"/>
    <x v="297"/>
    <x v="2"/>
  </r>
  <r>
    <x v="0"/>
    <x v="38"/>
    <x v="38"/>
    <x v="40"/>
    <x v="40"/>
    <x v="40"/>
    <x v="7"/>
    <x v="358"/>
    <x v="260"/>
    <x v="212"/>
    <x v="445"/>
    <x v="263"/>
    <x v="1"/>
    <x v="2"/>
  </r>
  <r>
    <x v="0"/>
    <x v="38"/>
    <x v="38"/>
    <x v="7"/>
    <x v="7"/>
    <x v="7"/>
    <x v="8"/>
    <x v="394"/>
    <x v="212"/>
    <x v="76"/>
    <x v="446"/>
    <x v="263"/>
    <x v="1"/>
    <x v="2"/>
  </r>
  <r>
    <x v="0"/>
    <x v="38"/>
    <x v="38"/>
    <x v="43"/>
    <x v="43"/>
    <x v="43"/>
    <x v="9"/>
    <x v="369"/>
    <x v="8"/>
    <x v="51"/>
    <x v="243"/>
    <x v="116"/>
    <x v="279"/>
    <x v="2"/>
  </r>
  <r>
    <x v="0"/>
    <x v="38"/>
    <x v="38"/>
    <x v="14"/>
    <x v="14"/>
    <x v="14"/>
    <x v="10"/>
    <x v="398"/>
    <x v="123"/>
    <x v="70"/>
    <x v="179"/>
    <x v="179"/>
    <x v="158"/>
    <x v="2"/>
  </r>
  <r>
    <x v="0"/>
    <x v="38"/>
    <x v="38"/>
    <x v="4"/>
    <x v="4"/>
    <x v="4"/>
    <x v="11"/>
    <x v="364"/>
    <x v="28"/>
    <x v="56"/>
    <x v="52"/>
    <x v="306"/>
    <x v="347"/>
    <x v="2"/>
  </r>
  <r>
    <x v="0"/>
    <x v="38"/>
    <x v="38"/>
    <x v="10"/>
    <x v="10"/>
    <x v="10"/>
    <x v="11"/>
    <x v="364"/>
    <x v="28"/>
    <x v="267"/>
    <x v="447"/>
    <x v="115"/>
    <x v="261"/>
    <x v="2"/>
  </r>
  <r>
    <x v="0"/>
    <x v="38"/>
    <x v="38"/>
    <x v="9"/>
    <x v="9"/>
    <x v="9"/>
    <x v="13"/>
    <x v="365"/>
    <x v="182"/>
    <x v="45"/>
    <x v="27"/>
    <x v="116"/>
    <x v="279"/>
    <x v="2"/>
  </r>
  <r>
    <x v="0"/>
    <x v="38"/>
    <x v="38"/>
    <x v="16"/>
    <x v="16"/>
    <x v="16"/>
    <x v="14"/>
    <x v="396"/>
    <x v="11"/>
    <x v="76"/>
    <x v="446"/>
    <x v="225"/>
    <x v="309"/>
    <x v="2"/>
  </r>
  <r>
    <x v="0"/>
    <x v="38"/>
    <x v="38"/>
    <x v="45"/>
    <x v="45"/>
    <x v="45"/>
    <x v="15"/>
    <x v="401"/>
    <x v="107"/>
    <x v="68"/>
    <x v="151"/>
    <x v="120"/>
    <x v="308"/>
    <x v="2"/>
  </r>
  <r>
    <x v="0"/>
    <x v="38"/>
    <x v="38"/>
    <x v="69"/>
    <x v="69"/>
    <x v="69"/>
    <x v="15"/>
    <x v="401"/>
    <x v="107"/>
    <x v="69"/>
    <x v="107"/>
    <x v="122"/>
    <x v="217"/>
    <x v="2"/>
  </r>
  <r>
    <x v="0"/>
    <x v="38"/>
    <x v="38"/>
    <x v="39"/>
    <x v="39"/>
    <x v="39"/>
    <x v="17"/>
    <x v="373"/>
    <x v="124"/>
    <x v="47"/>
    <x v="120"/>
    <x v="190"/>
    <x v="238"/>
    <x v="2"/>
  </r>
  <r>
    <x v="0"/>
    <x v="38"/>
    <x v="38"/>
    <x v="36"/>
    <x v="36"/>
    <x v="36"/>
    <x v="17"/>
    <x v="373"/>
    <x v="124"/>
    <x v="54"/>
    <x v="176"/>
    <x v="187"/>
    <x v="64"/>
    <x v="2"/>
  </r>
  <r>
    <x v="0"/>
    <x v="38"/>
    <x v="38"/>
    <x v="68"/>
    <x v="68"/>
    <x v="68"/>
    <x v="19"/>
    <x v="370"/>
    <x v="49"/>
    <x v="152"/>
    <x v="399"/>
    <x v="309"/>
    <x v="300"/>
    <x v="2"/>
  </r>
  <r>
    <x v="0"/>
    <x v="39"/>
    <x v="39"/>
    <x v="0"/>
    <x v="0"/>
    <x v="0"/>
    <x v="0"/>
    <x v="180"/>
    <x v="289"/>
    <x v="76"/>
    <x v="7"/>
    <x v="171"/>
    <x v="348"/>
    <x v="2"/>
  </r>
  <r>
    <x v="0"/>
    <x v="39"/>
    <x v="39"/>
    <x v="2"/>
    <x v="2"/>
    <x v="2"/>
    <x v="1"/>
    <x v="402"/>
    <x v="290"/>
    <x v="220"/>
    <x v="448"/>
    <x v="122"/>
    <x v="33"/>
    <x v="2"/>
  </r>
  <r>
    <x v="0"/>
    <x v="39"/>
    <x v="39"/>
    <x v="8"/>
    <x v="8"/>
    <x v="8"/>
    <x v="2"/>
    <x v="338"/>
    <x v="291"/>
    <x v="206"/>
    <x v="449"/>
    <x v="147"/>
    <x v="186"/>
    <x v="3"/>
  </r>
  <r>
    <x v="0"/>
    <x v="39"/>
    <x v="39"/>
    <x v="6"/>
    <x v="6"/>
    <x v="6"/>
    <x v="3"/>
    <x v="279"/>
    <x v="241"/>
    <x v="220"/>
    <x v="448"/>
    <x v="246"/>
    <x v="23"/>
    <x v="2"/>
  </r>
  <r>
    <x v="0"/>
    <x v="39"/>
    <x v="39"/>
    <x v="3"/>
    <x v="3"/>
    <x v="3"/>
    <x v="4"/>
    <x v="341"/>
    <x v="187"/>
    <x v="128"/>
    <x v="450"/>
    <x v="223"/>
    <x v="162"/>
    <x v="2"/>
  </r>
  <r>
    <x v="0"/>
    <x v="39"/>
    <x v="39"/>
    <x v="4"/>
    <x v="4"/>
    <x v="4"/>
    <x v="5"/>
    <x v="286"/>
    <x v="292"/>
    <x v="68"/>
    <x v="67"/>
    <x v="248"/>
    <x v="349"/>
    <x v="2"/>
  </r>
  <r>
    <x v="0"/>
    <x v="39"/>
    <x v="39"/>
    <x v="1"/>
    <x v="1"/>
    <x v="1"/>
    <x v="6"/>
    <x v="344"/>
    <x v="121"/>
    <x v="243"/>
    <x v="63"/>
    <x v="168"/>
    <x v="212"/>
    <x v="2"/>
  </r>
  <r>
    <x v="0"/>
    <x v="39"/>
    <x v="39"/>
    <x v="7"/>
    <x v="7"/>
    <x v="7"/>
    <x v="7"/>
    <x v="403"/>
    <x v="218"/>
    <x v="189"/>
    <x v="451"/>
    <x v="263"/>
    <x v="1"/>
    <x v="2"/>
  </r>
  <r>
    <x v="0"/>
    <x v="39"/>
    <x v="39"/>
    <x v="5"/>
    <x v="5"/>
    <x v="5"/>
    <x v="8"/>
    <x v="363"/>
    <x v="208"/>
    <x v="53"/>
    <x v="27"/>
    <x v="306"/>
    <x v="350"/>
    <x v="2"/>
  </r>
  <r>
    <x v="0"/>
    <x v="39"/>
    <x v="39"/>
    <x v="14"/>
    <x v="14"/>
    <x v="14"/>
    <x v="9"/>
    <x v="398"/>
    <x v="25"/>
    <x v="70"/>
    <x v="452"/>
    <x v="179"/>
    <x v="158"/>
    <x v="2"/>
  </r>
  <r>
    <x v="0"/>
    <x v="39"/>
    <x v="39"/>
    <x v="10"/>
    <x v="10"/>
    <x v="10"/>
    <x v="10"/>
    <x v="364"/>
    <x v="193"/>
    <x v="266"/>
    <x v="453"/>
    <x v="130"/>
    <x v="245"/>
    <x v="2"/>
  </r>
  <r>
    <x v="0"/>
    <x v="39"/>
    <x v="39"/>
    <x v="9"/>
    <x v="9"/>
    <x v="9"/>
    <x v="11"/>
    <x v="365"/>
    <x v="135"/>
    <x v="56"/>
    <x v="52"/>
    <x v="97"/>
    <x v="351"/>
    <x v="2"/>
  </r>
  <r>
    <x v="0"/>
    <x v="39"/>
    <x v="39"/>
    <x v="11"/>
    <x v="11"/>
    <x v="11"/>
    <x v="12"/>
    <x v="396"/>
    <x v="103"/>
    <x v="267"/>
    <x v="405"/>
    <x v="293"/>
    <x v="81"/>
    <x v="2"/>
  </r>
  <r>
    <x v="0"/>
    <x v="39"/>
    <x v="39"/>
    <x v="19"/>
    <x v="19"/>
    <x v="19"/>
    <x v="13"/>
    <x v="373"/>
    <x v="48"/>
    <x v="212"/>
    <x v="173"/>
    <x v="150"/>
    <x v="121"/>
    <x v="2"/>
  </r>
  <r>
    <x v="0"/>
    <x v="39"/>
    <x v="39"/>
    <x v="42"/>
    <x v="42"/>
    <x v="42"/>
    <x v="14"/>
    <x v="370"/>
    <x v="11"/>
    <x v="51"/>
    <x v="454"/>
    <x v="181"/>
    <x v="36"/>
    <x v="2"/>
  </r>
  <r>
    <x v="0"/>
    <x v="39"/>
    <x v="39"/>
    <x v="12"/>
    <x v="12"/>
    <x v="12"/>
    <x v="15"/>
    <x v="374"/>
    <x v="125"/>
    <x v="68"/>
    <x v="67"/>
    <x v="187"/>
    <x v="120"/>
    <x v="2"/>
  </r>
  <r>
    <x v="0"/>
    <x v="39"/>
    <x v="39"/>
    <x v="68"/>
    <x v="68"/>
    <x v="68"/>
    <x v="15"/>
    <x v="374"/>
    <x v="125"/>
    <x v="104"/>
    <x v="31"/>
    <x v="130"/>
    <x v="245"/>
    <x v="2"/>
  </r>
  <r>
    <x v="0"/>
    <x v="39"/>
    <x v="39"/>
    <x v="45"/>
    <x v="45"/>
    <x v="45"/>
    <x v="17"/>
    <x v="376"/>
    <x v="81"/>
    <x v="68"/>
    <x v="67"/>
    <x v="181"/>
    <x v="36"/>
    <x v="2"/>
  </r>
  <r>
    <x v="0"/>
    <x v="39"/>
    <x v="39"/>
    <x v="49"/>
    <x v="49"/>
    <x v="49"/>
    <x v="18"/>
    <x v="377"/>
    <x v="18"/>
    <x v="45"/>
    <x v="61"/>
    <x v="203"/>
    <x v="132"/>
    <x v="2"/>
  </r>
  <r>
    <x v="0"/>
    <x v="39"/>
    <x v="39"/>
    <x v="17"/>
    <x v="17"/>
    <x v="17"/>
    <x v="19"/>
    <x v="378"/>
    <x v="139"/>
    <x v="57"/>
    <x v="177"/>
    <x v="147"/>
    <x v="186"/>
    <x v="2"/>
  </r>
  <r>
    <x v="0"/>
    <x v="39"/>
    <x v="39"/>
    <x v="16"/>
    <x v="16"/>
    <x v="16"/>
    <x v="19"/>
    <x v="378"/>
    <x v="139"/>
    <x v="69"/>
    <x v="455"/>
    <x v="225"/>
    <x v="309"/>
    <x v="2"/>
  </r>
  <r>
    <x v="0"/>
    <x v="39"/>
    <x v="39"/>
    <x v="34"/>
    <x v="34"/>
    <x v="34"/>
    <x v="19"/>
    <x v="378"/>
    <x v="139"/>
    <x v="44"/>
    <x v="456"/>
    <x v="150"/>
    <x v="121"/>
    <x v="2"/>
  </r>
  <r>
    <x v="0"/>
    <x v="40"/>
    <x v="40"/>
    <x v="0"/>
    <x v="0"/>
    <x v="0"/>
    <x v="0"/>
    <x v="125"/>
    <x v="293"/>
    <x v="168"/>
    <x v="450"/>
    <x v="255"/>
    <x v="352"/>
    <x v="2"/>
  </r>
  <r>
    <x v="0"/>
    <x v="40"/>
    <x v="40"/>
    <x v="2"/>
    <x v="2"/>
    <x v="2"/>
    <x v="1"/>
    <x v="352"/>
    <x v="294"/>
    <x v="258"/>
    <x v="457"/>
    <x v="61"/>
    <x v="123"/>
    <x v="2"/>
  </r>
  <r>
    <x v="0"/>
    <x v="40"/>
    <x v="40"/>
    <x v="6"/>
    <x v="6"/>
    <x v="6"/>
    <x v="2"/>
    <x v="341"/>
    <x v="53"/>
    <x v="220"/>
    <x v="406"/>
    <x v="234"/>
    <x v="112"/>
    <x v="2"/>
  </r>
  <r>
    <x v="0"/>
    <x v="40"/>
    <x v="40"/>
    <x v="4"/>
    <x v="4"/>
    <x v="4"/>
    <x v="3"/>
    <x v="343"/>
    <x v="295"/>
    <x v="56"/>
    <x v="52"/>
    <x v="275"/>
    <x v="353"/>
    <x v="2"/>
  </r>
  <r>
    <x v="0"/>
    <x v="40"/>
    <x v="40"/>
    <x v="1"/>
    <x v="1"/>
    <x v="1"/>
    <x v="3"/>
    <x v="343"/>
    <x v="295"/>
    <x v="37"/>
    <x v="1"/>
    <x v="238"/>
    <x v="66"/>
    <x v="2"/>
  </r>
  <r>
    <x v="0"/>
    <x v="40"/>
    <x v="40"/>
    <x v="8"/>
    <x v="8"/>
    <x v="8"/>
    <x v="5"/>
    <x v="347"/>
    <x v="224"/>
    <x v="267"/>
    <x v="458"/>
    <x v="313"/>
    <x v="217"/>
    <x v="2"/>
  </r>
  <r>
    <x v="0"/>
    <x v="40"/>
    <x v="40"/>
    <x v="7"/>
    <x v="7"/>
    <x v="7"/>
    <x v="6"/>
    <x v="369"/>
    <x v="58"/>
    <x v="212"/>
    <x v="47"/>
    <x v="168"/>
    <x v="246"/>
    <x v="2"/>
  </r>
  <r>
    <x v="0"/>
    <x v="40"/>
    <x v="40"/>
    <x v="3"/>
    <x v="3"/>
    <x v="3"/>
    <x v="7"/>
    <x v="398"/>
    <x v="22"/>
    <x v="113"/>
    <x v="459"/>
    <x v="234"/>
    <x v="112"/>
    <x v="2"/>
  </r>
  <r>
    <x v="0"/>
    <x v="40"/>
    <x v="40"/>
    <x v="11"/>
    <x v="11"/>
    <x v="11"/>
    <x v="8"/>
    <x v="364"/>
    <x v="207"/>
    <x v="55"/>
    <x v="460"/>
    <x v="294"/>
    <x v="142"/>
    <x v="2"/>
  </r>
  <r>
    <x v="0"/>
    <x v="40"/>
    <x v="40"/>
    <x v="5"/>
    <x v="5"/>
    <x v="5"/>
    <x v="9"/>
    <x v="365"/>
    <x v="296"/>
    <x v="45"/>
    <x v="461"/>
    <x v="116"/>
    <x v="90"/>
    <x v="2"/>
  </r>
  <r>
    <x v="0"/>
    <x v="40"/>
    <x v="40"/>
    <x v="19"/>
    <x v="19"/>
    <x v="19"/>
    <x v="10"/>
    <x v="373"/>
    <x v="242"/>
    <x v="46"/>
    <x v="187"/>
    <x v="293"/>
    <x v="354"/>
    <x v="2"/>
  </r>
  <r>
    <x v="0"/>
    <x v="40"/>
    <x v="40"/>
    <x v="42"/>
    <x v="42"/>
    <x v="42"/>
    <x v="11"/>
    <x v="375"/>
    <x v="136"/>
    <x v="63"/>
    <x v="206"/>
    <x v="168"/>
    <x v="246"/>
    <x v="2"/>
  </r>
  <r>
    <x v="0"/>
    <x v="40"/>
    <x v="40"/>
    <x v="9"/>
    <x v="9"/>
    <x v="9"/>
    <x v="12"/>
    <x v="377"/>
    <x v="146"/>
    <x v="47"/>
    <x v="312"/>
    <x v="61"/>
    <x v="123"/>
    <x v="2"/>
  </r>
  <r>
    <x v="0"/>
    <x v="40"/>
    <x v="40"/>
    <x v="12"/>
    <x v="12"/>
    <x v="12"/>
    <x v="12"/>
    <x v="377"/>
    <x v="146"/>
    <x v="57"/>
    <x v="42"/>
    <x v="149"/>
    <x v="355"/>
    <x v="2"/>
  </r>
  <r>
    <x v="0"/>
    <x v="40"/>
    <x v="40"/>
    <x v="10"/>
    <x v="10"/>
    <x v="10"/>
    <x v="14"/>
    <x v="391"/>
    <x v="32"/>
    <x v="44"/>
    <x v="178"/>
    <x v="293"/>
    <x v="354"/>
    <x v="2"/>
  </r>
  <r>
    <x v="0"/>
    <x v="40"/>
    <x v="40"/>
    <x v="15"/>
    <x v="15"/>
    <x v="15"/>
    <x v="14"/>
    <x v="391"/>
    <x v="32"/>
    <x v="45"/>
    <x v="461"/>
    <x v="313"/>
    <x v="217"/>
    <x v="2"/>
  </r>
  <r>
    <x v="0"/>
    <x v="40"/>
    <x v="40"/>
    <x v="68"/>
    <x v="68"/>
    <x v="68"/>
    <x v="16"/>
    <x v="380"/>
    <x v="15"/>
    <x v="140"/>
    <x v="462"/>
    <x v="130"/>
    <x v="79"/>
    <x v="2"/>
  </r>
  <r>
    <x v="0"/>
    <x v="40"/>
    <x v="40"/>
    <x v="14"/>
    <x v="14"/>
    <x v="14"/>
    <x v="17"/>
    <x v="381"/>
    <x v="18"/>
    <x v="54"/>
    <x v="275"/>
    <x v="223"/>
    <x v="170"/>
    <x v="2"/>
  </r>
  <r>
    <x v="0"/>
    <x v="40"/>
    <x v="40"/>
    <x v="34"/>
    <x v="34"/>
    <x v="34"/>
    <x v="17"/>
    <x v="381"/>
    <x v="18"/>
    <x v="139"/>
    <x v="98"/>
    <x v="294"/>
    <x v="142"/>
    <x v="2"/>
  </r>
  <r>
    <x v="0"/>
    <x v="40"/>
    <x v="40"/>
    <x v="40"/>
    <x v="40"/>
    <x v="40"/>
    <x v="17"/>
    <x v="381"/>
    <x v="18"/>
    <x v="54"/>
    <x v="275"/>
    <x v="223"/>
    <x v="170"/>
    <x v="2"/>
  </r>
  <r>
    <x v="0"/>
    <x v="41"/>
    <x v="41"/>
    <x v="2"/>
    <x v="2"/>
    <x v="2"/>
    <x v="0"/>
    <x v="342"/>
    <x v="297"/>
    <x v="149"/>
    <x v="463"/>
    <x v="130"/>
    <x v="225"/>
    <x v="2"/>
  </r>
  <r>
    <x v="0"/>
    <x v="41"/>
    <x v="41"/>
    <x v="1"/>
    <x v="1"/>
    <x v="1"/>
    <x v="1"/>
    <x v="362"/>
    <x v="298"/>
    <x v="267"/>
    <x v="464"/>
    <x v="246"/>
    <x v="96"/>
    <x v="2"/>
  </r>
  <r>
    <x v="0"/>
    <x v="41"/>
    <x v="41"/>
    <x v="3"/>
    <x v="3"/>
    <x v="3"/>
    <x v="2"/>
    <x v="363"/>
    <x v="299"/>
    <x v="243"/>
    <x v="465"/>
    <x v="295"/>
    <x v="232"/>
    <x v="2"/>
  </r>
  <r>
    <x v="0"/>
    <x v="41"/>
    <x v="41"/>
    <x v="0"/>
    <x v="0"/>
    <x v="0"/>
    <x v="3"/>
    <x v="388"/>
    <x v="300"/>
    <x v="54"/>
    <x v="466"/>
    <x v="311"/>
    <x v="356"/>
    <x v="2"/>
  </r>
  <r>
    <x v="0"/>
    <x v="41"/>
    <x v="41"/>
    <x v="10"/>
    <x v="10"/>
    <x v="10"/>
    <x v="4"/>
    <x v="370"/>
    <x v="247"/>
    <x v="267"/>
    <x v="464"/>
    <x v="320"/>
    <x v="340"/>
    <x v="2"/>
  </r>
  <r>
    <x v="0"/>
    <x v="41"/>
    <x v="41"/>
    <x v="6"/>
    <x v="6"/>
    <x v="6"/>
    <x v="5"/>
    <x v="389"/>
    <x v="120"/>
    <x v="104"/>
    <x v="264"/>
    <x v="309"/>
    <x v="45"/>
    <x v="2"/>
  </r>
  <r>
    <x v="0"/>
    <x v="41"/>
    <x v="41"/>
    <x v="11"/>
    <x v="11"/>
    <x v="11"/>
    <x v="6"/>
    <x v="375"/>
    <x v="42"/>
    <x v="252"/>
    <x v="467"/>
    <x v="295"/>
    <x v="232"/>
    <x v="2"/>
  </r>
  <r>
    <x v="0"/>
    <x v="41"/>
    <x v="41"/>
    <x v="7"/>
    <x v="7"/>
    <x v="7"/>
    <x v="7"/>
    <x v="376"/>
    <x v="221"/>
    <x v="43"/>
    <x v="382"/>
    <x v="238"/>
    <x v="70"/>
    <x v="2"/>
  </r>
  <r>
    <x v="0"/>
    <x v="41"/>
    <x v="41"/>
    <x v="4"/>
    <x v="4"/>
    <x v="4"/>
    <x v="8"/>
    <x v="391"/>
    <x v="296"/>
    <x v="56"/>
    <x v="52"/>
    <x v="147"/>
    <x v="357"/>
    <x v="2"/>
  </r>
  <r>
    <x v="0"/>
    <x v="41"/>
    <x v="41"/>
    <x v="36"/>
    <x v="36"/>
    <x v="36"/>
    <x v="9"/>
    <x v="381"/>
    <x v="242"/>
    <x v="47"/>
    <x v="455"/>
    <x v="238"/>
    <x v="70"/>
    <x v="2"/>
  </r>
  <r>
    <x v="0"/>
    <x v="41"/>
    <x v="41"/>
    <x v="63"/>
    <x v="63"/>
    <x v="63"/>
    <x v="9"/>
    <x v="381"/>
    <x v="242"/>
    <x v="72"/>
    <x v="468"/>
    <x v="309"/>
    <x v="45"/>
    <x v="2"/>
  </r>
  <r>
    <x v="0"/>
    <x v="41"/>
    <x v="41"/>
    <x v="41"/>
    <x v="41"/>
    <x v="41"/>
    <x v="11"/>
    <x v="404"/>
    <x v="26"/>
    <x v="45"/>
    <x v="469"/>
    <x v="223"/>
    <x v="358"/>
    <x v="2"/>
  </r>
  <r>
    <x v="0"/>
    <x v="41"/>
    <x v="41"/>
    <x v="8"/>
    <x v="8"/>
    <x v="8"/>
    <x v="11"/>
    <x v="404"/>
    <x v="26"/>
    <x v="63"/>
    <x v="447"/>
    <x v="294"/>
    <x v="111"/>
    <x v="2"/>
  </r>
  <r>
    <x v="0"/>
    <x v="41"/>
    <x v="41"/>
    <x v="14"/>
    <x v="14"/>
    <x v="14"/>
    <x v="13"/>
    <x v="325"/>
    <x v="48"/>
    <x v="47"/>
    <x v="455"/>
    <x v="123"/>
    <x v="359"/>
    <x v="2"/>
  </r>
  <r>
    <x v="0"/>
    <x v="41"/>
    <x v="41"/>
    <x v="42"/>
    <x v="42"/>
    <x v="42"/>
    <x v="14"/>
    <x v="326"/>
    <x v="147"/>
    <x v="70"/>
    <x v="417"/>
    <x v="234"/>
    <x v="322"/>
    <x v="2"/>
  </r>
  <r>
    <x v="0"/>
    <x v="41"/>
    <x v="41"/>
    <x v="66"/>
    <x v="66"/>
    <x v="66"/>
    <x v="15"/>
    <x v="405"/>
    <x v="125"/>
    <x v="70"/>
    <x v="417"/>
    <x v="150"/>
    <x v="16"/>
    <x v="2"/>
  </r>
  <r>
    <x v="0"/>
    <x v="41"/>
    <x v="41"/>
    <x v="45"/>
    <x v="45"/>
    <x v="45"/>
    <x v="15"/>
    <x v="405"/>
    <x v="125"/>
    <x v="53"/>
    <x v="81"/>
    <x v="253"/>
    <x v="259"/>
    <x v="2"/>
  </r>
  <r>
    <x v="0"/>
    <x v="41"/>
    <x v="41"/>
    <x v="9"/>
    <x v="9"/>
    <x v="9"/>
    <x v="15"/>
    <x v="405"/>
    <x v="125"/>
    <x v="57"/>
    <x v="12"/>
    <x v="168"/>
    <x v="169"/>
    <x v="2"/>
  </r>
  <r>
    <x v="0"/>
    <x v="41"/>
    <x v="41"/>
    <x v="40"/>
    <x v="40"/>
    <x v="40"/>
    <x v="18"/>
    <x v="406"/>
    <x v="14"/>
    <x v="51"/>
    <x v="470"/>
    <x v="234"/>
    <x v="322"/>
    <x v="2"/>
  </r>
  <r>
    <x v="0"/>
    <x v="41"/>
    <x v="41"/>
    <x v="16"/>
    <x v="16"/>
    <x v="16"/>
    <x v="19"/>
    <x v="407"/>
    <x v="255"/>
    <x v="51"/>
    <x v="470"/>
    <x v="150"/>
    <x v="16"/>
    <x v="2"/>
  </r>
  <r>
    <x v="0"/>
    <x v="41"/>
    <x v="41"/>
    <x v="67"/>
    <x v="67"/>
    <x v="67"/>
    <x v="19"/>
    <x v="407"/>
    <x v="255"/>
    <x v="57"/>
    <x v="12"/>
    <x v="253"/>
    <x v="259"/>
    <x v="2"/>
  </r>
  <r>
    <x v="0"/>
    <x v="42"/>
    <x v="42"/>
    <x v="0"/>
    <x v="0"/>
    <x v="0"/>
    <x v="0"/>
    <x v="408"/>
    <x v="301"/>
    <x v="224"/>
    <x v="471"/>
    <x v="239"/>
    <x v="360"/>
    <x v="2"/>
  </r>
  <r>
    <x v="0"/>
    <x v="42"/>
    <x v="42"/>
    <x v="2"/>
    <x v="2"/>
    <x v="2"/>
    <x v="1"/>
    <x v="347"/>
    <x v="285"/>
    <x v="141"/>
    <x v="472"/>
    <x v="234"/>
    <x v="342"/>
    <x v="2"/>
  </r>
  <r>
    <x v="0"/>
    <x v="42"/>
    <x v="42"/>
    <x v="4"/>
    <x v="4"/>
    <x v="4"/>
    <x v="2"/>
    <x v="360"/>
    <x v="302"/>
    <x v="53"/>
    <x v="154"/>
    <x v="41"/>
    <x v="361"/>
    <x v="2"/>
  </r>
  <r>
    <x v="0"/>
    <x v="42"/>
    <x v="42"/>
    <x v="1"/>
    <x v="1"/>
    <x v="1"/>
    <x v="3"/>
    <x v="401"/>
    <x v="303"/>
    <x v="76"/>
    <x v="173"/>
    <x v="223"/>
    <x v="146"/>
    <x v="2"/>
  </r>
  <r>
    <x v="0"/>
    <x v="42"/>
    <x v="42"/>
    <x v="11"/>
    <x v="11"/>
    <x v="11"/>
    <x v="4"/>
    <x v="389"/>
    <x v="61"/>
    <x v="212"/>
    <x v="473"/>
    <x v="288"/>
    <x v="237"/>
    <x v="2"/>
  </r>
  <r>
    <x v="0"/>
    <x v="42"/>
    <x v="42"/>
    <x v="6"/>
    <x v="6"/>
    <x v="6"/>
    <x v="5"/>
    <x v="374"/>
    <x v="202"/>
    <x v="104"/>
    <x v="474"/>
    <x v="130"/>
    <x v="212"/>
    <x v="2"/>
  </r>
  <r>
    <x v="0"/>
    <x v="42"/>
    <x v="42"/>
    <x v="3"/>
    <x v="3"/>
    <x v="3"/>
    <x v="6"/>
    <x v="375"/>
    <x v="6"/>
    <x v="152"/>
    <x v="475"/>
    <x v="150"/>
    <x v="112"/>
    <x v="2"/>
  </r>
  <r>
    <x v="0"/>
    <x v="42"/>
    <x v="42"/>
    <x v="45"/>
    <x v="45"/>
    <x v="45"/>
    <x v="7"/>
    <x v="376"/>
    <x v="304"/>
    <x v="53"/>
    <x v="154"/>
    <x v="149"/>
    <x v="350"/>
    <x v="2"/>
  </r>
  <r>
    <x v="0"/>
    <x v="42"/>
    <x v="42"/>
    <x v="36"/>
    <x v="36"/>
    <x v="36"/>
    <x v="7"/>
    <x v="376"/>
    <x v="304"/>
    <x v="45"/>
    <x v="341"/>
    <x v="147"/>
    <x v="362"/>
    <x v="2"/>
  </r>
  <r>
    <x v="0"/>
    <x v="42"/>
    <x v="42"/>
    <x v="7"/>
    <x v="7"/>
    <x v="7"/>
    <x v="7"/>
    <x v="376"/>
    <x v="304"/>
    <x v="65"/>
    <x v="269"/>
    <x v="309"/>
    <x v="243"/>
    <x v="2"/>
  </r>
  <r>
    <x v="0"/>
    <x v="42"/>
    <x v="42"/>
    <x v="8"/>
    <x v="8"/>
    <x v="8"/>
    <x v="10"/>
    <x v="377"/>
    <x v="154"/>
    <x v="140"/>
    <x v="370"/>
    <x v="246"/>
    <x v="363"/>
    <x v="2"/>
  </r>
  <r>
    <x v="0"/>
    <x v="42"/>
    <x v="42"/>
    <x v="43"/>
    <x v="43"/>
    <x v="43"/>
    <x v="11"/>
    <x v="378"/>
    <x v="7"/>
    <x v="45"/>
    <x v="341"/>
    <x v="61"/>
    <x v="364"/>
    <x v="2"/>
  </r>
  <r>
    <x v="0"/>
    <x v="42"/>
    <x v="42"/>
    <x v="10"/>
    <x v="10"/>
    <x v="10"/>
    <x v="11"/>
    <x v="378"/>
    <x v="7"/>
    <x v="104"/>
    <x v="474"/>
    <x v="294"/>
    <x v="136"/>
    <x v="2"/>
  </r>
  <r>
    <x v="0"/>
    <x v="42"/>
    <x v="42"/>
    <x v="40"/>
    <x v="40"/>
    <x v="40"/>
    <x v="13"/>
    <x v="381"/>
    <x v="147"/>
    <x v="140"/>
    <x v="370"/>
    <x v="115"/>
    <x v="221"/>
    <x v="2"/>
  </r>
  <r>
    <x v="0"/>
    <x v="42"/>
    <x v="42"/>
    <x v="16"/>
    <x v="16"/>
    <x v="16"/>
    <x v="14"/>
    <x v="409"/>
    <x v="124"/>
    <x v="72"/>
    <x v="476"/>
    <x v="130"/>
    <x v="212"/>
    <x v="2"/>
  </r>
  <r>
    <x v="0"/>
    <x v="42"/>
    <x v="42"/>
    <x v="14"/>
    <x v="14"/>
    <x v="14"/>
    <x v="15"/>
    <x v="404"/>
    <x v="13"/>
    <x v="45"/>
    <x v="341"/>
    <x v="223"/>
    <x v="146"/>
    <x v="2"/>
  </r>
  <r>
    <x v="0"/>
    <x v="42"/>
    <x v="42"/>
    <x v="49"/>
    <x v="49"/>
    <x v="49"/>
    <x v="16"/>
    <x v="325"/>
    <x v="255"/>
    <x v="53"/>
    <x v="154"/>
    <x v="168"/>
    <x v="35"/>
    <x v="2"/>
  </r>
  <r>
    <x v="0"/>
    <x v="42"/>
    <x v="42"/>
    <x v="51"/>
    <x v="51"/>
    <x v="51"/>
    <x v="16"/>
    <x v="325"/>
    <x v="255"/>
    <x v="53"/>
    <x v="154"/>
    <x v="168"/>
    <x v="35"/>
    <x v="2"/>
  </r>
  <r>
    <x v="0"/>
    <x v="42"/>
    <x v="42"/>
    <x v="63"/>
    <x v="63"/>
    <x v="63"/>
    <x v="16"/>
    <x v="325"/>
    <x v="255"/>
    <x v="53"/>
    <x v="154"/>
    <x v="168"/>
    <x v="35"/>
    <x v="2"/>
  </r>
  <r>
    <x v="0"/>
    <x v="42"/>
    <x v="42"/>
    <x v="12"/>
    <x v="12"/>
    <x v="12"/>
    <x v="16"/>
    <x v="325"/>
    <x v="255"/>
    <x v="56"/>
    <x v="52"/>
    <x v="225"/>
    <x v="33"/>
    <x v="2"/>
  </r>
  <r>
    <x v="0"/>
    <x v="43"/>
    <x v="43"/>
    <x v="2"/>
    <x v="2"/>
    <x v="2"/>
    <x v="0"/>
    <x v="284"/>
    <x v="151"/>
    <x v="73"/>
    <x v="277"/>
    <x v="168"/>
    <x v="82"/>
    <x v="2"/>
  </r>
  <r>
    <x v="0"/>
    <x v="43"/>
    <x v="43"/>
    <x v="0"/>
    <x v="0"/>
    <x v="0"/>
    <x v="1"/>
    <x v="358"/>
    <x v="229"/>
    <x v="68"/>
    <x v="477"/>
    <x v="138"/>
    <x v="327"/>
    <x v="2"/>
  </r>
  <r>
    <x v="0"/>
    <x v="43"/>
    <x v="43"/>
    <x v="1"/>
    <x v="1"/>
    <x v="1"/>
    <x v="2"/>
    <x v="359"/>
    <x v="305"/>
    <x v="259"/>
    <x v="426"/>
    <x v="168"/>
    <x v="82"/>
    <x v="2"/>
  </r>
  <r>
    <x v="0"/>
    <x v="43"/>
    <x v="43"/>
    <x v="11"/>
    <x v="11"/>
    <x v="11"/>
    <x v="3"/>
    <x v="361"/>
    <x v="277"/>
    <x v="243"/>
    <x v="478"/>
    <x v="293"/>
    <x v="312"/>
    <x v="2"/>
  </r>
  <r>
    <x v="0"/>
    <x v="43"/>
    <x v="43"/>
    <x v="3"/>
    <x v="3"/>
    <x v="3"/>
    <x v="4"/>
    <x v="394"/>
    <x v="87"/>
    <x v="199"/>
    <x v="307"/>
    <x v="150"/>
    <x v="241"/>
    <x v="2"/>
  </r>
  <r>
    <x v="0"/>
    <x v="43"/>
    <x v="43"/>
    <x v="6"/>
    <x v="6"/>
    <x v="6"/>
    <x v="5"/>
    <x v="369"/>
    <x v="158"/>
    <x v="227"/>
    <x v="479"/>
    <x v="293"/>
    <x v="312"/>
    <x v="2"/>
  </r>
  <r>
    <x v="0"/>
    <x v="43"/>
    <x v="43"/>
    <x v="8"/>
    <x v="8"/>
    <x v="8"/>
    <x v="6"/>
    <x v="398"/>
    <x v="190"/>
    <x v="125"/>
    <x v="480"/>
    <x v="115"/>
    <x v="129"/>
    <x v="2"/>
  </r>
  <r>
    <x v="0"/>
    <x v="43"/>
    <x v="43"/>
    <x v="36"/>
    <x v="36"/>
    <x v="36"/>
    <x v="7"/>
    <x v="365"/>
    <x v="200"/>
    <x v="68"/>
    <x v="477"/>
    <x v="142"/>
    <x v="365"/>
    <x v="2"/>
  </r>
  <r>
    <x v="0"/>
    <x v="43"/>
    <x v="43"/>
    <x v="43"/>
    <x v="43"/>
    <x v="43"/>
    <x v="7"/>
    <x v="365"/>
    <x v="200"/>
    <x v="54"/>
    <x v="481"/>
    <x v="120"/>
    <x v="366"/>
    <x v="2"/>
  </r>
  <r>
    <x v="0"/>
    <x v="43"/>
    <x v="43"/>
    <x v="69"/>
    <x v="69"/>
    <x v="69"/>
    <x v="9"/>
    <x v="396"/>
    <x v="218"/>
    <x v="70"/>
    <x v="345"/>
    <x v="187"/>
    <x v="367"/>
    <x v="2"/>
  </r>
  <r>
    <x v="0"/>
    <x v="43"/>
    <x v="43"/>
    <x v="7"/>
    <x v="7"/>
    <x v="7"/>
    <x v="10"/>
    <x v="388"/>
    <x v="201"/>
    <x v="76"/>
    <x v="429"/>
    <x v="238"/>
    <x v="51"/>
    <x v="2"/>
  </r>
  <r>
    <x v="0"/>
    <x v="43"/>
    <x v="43"/>
    <x v="45"/>
    <x v="45"/>
    <x v="45"/>
    <x v="11"/>
    <x v="389"/>
    <x v="261"/>
    <x v="49"/>
    <x v="482"/>
    <x v="61"/>
    <x v="143"/>
    <x v="2"/>
  </r>
  <r>
    <x v="0"/>
    <x v="43"/>
    <x v="43"/>
    <x v="66"/>
    <x v="66"/>
    <x v="66"/>
    <x v="12"/>
    <x v="375"/>
    <x v="8"/>
    <x v="54"/>
    <x v="481"/>
    <x v="263"/>
    <x v="216"/>
    <x v="2"/>
  </r>
  <r>
    <x v="0"/>
    <x v="43"/>
    <x v="43"/>
    <x v="10"/>
    <x v="10"/>
    <x v="10"/>
    <x v="13"/>
    <x v="376"/>
    <x v="64"/>
    <x v="252"/>
    <x v="113"/>
    <x v="320"/>
    <x v="340"/>
    <x v="2"/>
  </r>
  <r>
    <x v="0"/>
    <x v="43"/>
    <x v="43"/>
    <x v="39"/>
    <x v="39"/>
    <x v="39"/>
    <x v="14"/>
    <x v="390"/>
    <x v="182"/>
    <x v="72"/>
    <x v="483"/>
    <x v="238"/>
    <x v="51"/>
    <x v="2"/>
  </r>
  <r>
    <x v="0"/>
    <x v="43"/>
    <x v="43"/>
    <x v="16"/>
    <x v="16"/>
    <x v="16"/>
    <x v="14"/>
    <x v="390"/>
    <x v="182"/>
    <x v="94"/>
    <x v="206"/>
    <x v="246"/>
    <x v="78"/>
    <x v="2"/>
  </r>
  <r>
    <x v="0"/>
    <x v="43"/>
    <x v="43"/>
    <x v="63"/>
    <x v="63"/>
    <x v="63"/>
    <x v="14"/>
    <x v="390"/>
    <x v="182"/>
    <x v="140"/>
    <x v="301"/>
    <x v="168"/>
    <x v="82"/>
    <x v="2"/>
  </r>
  <r>
    <x v="0"/>
    <x v="43"/>
    <x v="43"/>
    <x v="5"/>
    <x v="5"/>
    <x v="5"/>
    <x v="17"/>
    <x v="377"/>
    <x v="137"/>
    <x v="57"/>
    <x v="64"/>
    <x v="149"/>
    <x v="339"/>
    <x v="2"/>
  </r>
  <r>
    <x v="0"/>
    <x v="43"/>
    <x v="43"/>
    <x v="4"/>
    <x v="4"/>
    <x v="4"/>
    <x v="17"/>
    <x v="377"/>
    <x v="137"/>
    <x v="56"/>
    <x v="52"/>
    <x v="181"/>
    <x v="76"/>
    <x v="2"/>
  </r>
  <r>
    <x v="0"/>
    <x v="43"/>
    <x v="43"/>
    <x v="49"/>
    <x v="49"/>
    <x v="49"/>
    <x v="19"/>
    <x v="378"/>
    <x v="146"/>
    <x v="57"/>
    <x v="64"/>
    <x v="147"/>
    <x v="355"/>
    <x v="2"/>
  </r>
  <r>
    <x v="0"/>
    <x v="43"/>
    <x v="43"/>
    <x v="9"/>
    <x v="9"/>
    <x v="9"/>
    <x v="19"/>
    <x v="378"/>
    <x v="146"/>
    <x v="57"/>
    <x v="64"/>
    <x v="147"/>
    <x v="355"/>
    <x v="2"/>
  </r>
  <r>
    <x v="0"/>
    <x v="44"/>
    <x v="44"/>
    <x v="2"/>
    <x v="2"/>
    <x v="2"/>
    <x v="0"/>
    <x v="283"/>
    <x v="306"/>
    <x v="168"/>
    <x v="484"/>
    <x v="238"/>
    <x v="169"/>
    <x v="2"/>
  </r>
  <r>
    <x v="0"/>
    <x v="44"/>
    <x v="44"/>
    <x v="0"/>
    <x v="0"/>
    <x v="0"/>
    <x v="1"/>
    <x v="359"/>
    <x v="290"/>
    <x v="63"/>
    <x v="31"/>
    <x v="245"/>
    <x v="368"/>
    <x v="2"/>
  </r>
  <r>
    <x v="0"/>
    <x v="44"/>
    <x v="44"/>
    <x v="8"/>
    <x v="8"/>
    <x v="8"/>
    <x v="2"/>
    <x v="403"/>
    <x v="307"/>
    <x v="55"/>
    <x v="485"/>
    <x v="253"/>
    <x v="147"/>
    <x v="2"/>
  </r>
  <r>
    <x v="0"/>
    <x v="44"/>
    <x v="44"/>
    <x v="3"/>
    <x v="3"/>
    <x v="3"/>
    <x v="3"/>
    <x v="364"/>
    <x v="169"/>
    <x v="46"/>
    <x v="486"/>
    <x v="123"/>
    <x v="14"/>
    <x v="2"/>
  </r>
  <r>
    <x v="0"/>
    <x v="44"/>
    <x v="44"/>
    <x v="11"/>
    <x v="11"/>
    <x v="11"/>
    <x v="4"/>
    <x v="395"/>
    <x v="156"/>
    <x v="259"/>
    <x v="487"/>
    <x v="288"/>
    <x v="126"/>
    <x v="2"/>
  </r>
  <r>
    <x v="0"/>
    <x v="44"/>
    <x v="44"/>
    <x v="36"/>
    <x v="36"/>
    <x v="36"/>
    <x v="5"/>
    <x v="370"/>
    <x v="133"/>
    <x v="54"/>
    <x v="327"/>
    <x v="122"/>
    <x v="369"/>
    <x v="2"/>
  </r>
  <r>
    <x v="0"/>
    <x v="44"/>
    <x v="44"/>
    <x v="6"/>
    <x v="6"/>
    <x v="6"/>
    <x v="6"/>
    <x v="399"/>
    <x v="171"/>
    <x v="46"/>
    <x v="486"/>
    <x v="288"/>
    <x v="126"/>
    <x v="2"/>
  </r>
  <r>
    <x v="0"/>
    <x v="44"/>
    <x v="44"/>
    <x v="1"/>
    <x v="1"/>
    <x v="1"/>
    <x v="7"/>
    <x v="391"/>
    <x v="46"/>
    <x v="65"/>
    <x v="193"/>
    <x v="150"/>
    <x v="118"/>
    <x v="2"/>
  </r>
  <r>
    <x v="0"/>
    <x v="44"/>
    <x v="44"/>
    <x v="40"/>
    <x v="40"/>
    <x v="40"/>
    <x v="8"/>
    <x v="379"/>
    <x v="193"/>
    <x v="43"/>
    <x v="488"/>
    <x v="123"/>
    <x v="14"/>
    <x v="2"/>
  </r>
  <r>
    <x v="0"/>
    <x v="44"/>
    <x v="44"/>
    <x v="7"/>
    <x v="7"/>
    <x v="7"/>
    <x v="9"/>
    <x v="380"/>
    <x v="26"/>
    <x v="139"/>
    <x v="225"/>
    <x v="293"/>
    <x v="209"/>
    <x v="2"/>
  </r>
  <r>
    <x v="0"/>
    <x v="44"/>
    <x v="44"/>
    <x v="16"/>
    <x v="16"/>
    <x v="16"/>
    <x v="10"/>
    <x v="381"/>
    <x v="213"/>
    <x v="140"/>
    <x v="489"/>
    <x v="115"/>
    <x v="370"/>
    <x v="2"/>
  </r>
  <r>
    <x v="0"/>
    <x v="44"/>
    <x v="44"/>
    <x v="43"/>
    <x v="43"/>
    <x v="43"/>
    <x v="11"/>
    <x v="409"/>
    <x v="93"/>
    <x v="68"/>
    <x v="344"/>
    <x v="305"/>
    <x v="371"/>
    <x v="2"/>
  </r>
  <r>
    <x v="0"/>
    <x v="44"/>
    <x v="44"/>
    <x v="48"/>
    <x v="48"/>
    <x v="48"/>
    <x v="11"/>
    <x v="409"/>
    <x v="93"/>
    <x v="139"/>
    <x v="225"/>
    <x v="288"/>
    <x v="126"/>
    <x v="2"/>
  </r>
  <r>
    <x v="0"/>
    <x v="44"/>
    <x v="44"/>
    <x v="9"/>
    <x v="9"/>
    <x v="9"/>
    <x v="11"/>
    <x v="409"/>
    <x v="93"/>
    <x v="57"/>
    <x v="15"/>
    <x v="102"/>
    <x v="347"/>
    <x v="2"/>
  </r>
  <r>
    <x v="0"/>
    <x v="44"/>
    <x v="44"/>
    <x v="10"/>
    <x v="10"/>
    <x v="10"/>
    <x v="11"/>
    <x v="409"/>
    <x v="93"/>
    <x v="44"/>
    <x v="490"/>
    <x v="320"/>
    <x v="340"/>
    <x v="2"/>
  </r>
  <r>
    <x v="0"/>
    <x v="44"/>
    <x v="44"/>
    <x v="65"/>
    <x v="65"/>
    <x v="65"/>
    <x v="11"/>
    <x v="409"/>
    <x v="93"/>
    <x v="68"/>
    <x v="344"/>
    <x v="295"/>
    <x v="57"/>
    <x v="2"/>
  </r>
  <r>
    <x v="0"/>
    <x v="44"/>
    <x v="44"/>
    <x v="41"/>
    <x v="41"/>
    <x v="41"/>
    <x v="16"/>
    <x v="404"/>
    <x v="29"/>
    <x v="54"/>
    <x v="327"/>
    <x v="246"/>
    <x v="217"/>
    <x v="2"/>
  </r>
  <r>
    <x v="0"/>
    <x v="44"/>
    <x v="44"/>
    <x v="49"/>
    <x v="49"/>
    <x v="49"/>
    <x v="17"/>
    <x v="410"/>
    <x v="195"/>
    <x v="45"/>
    <x v="341"/>
    <x v="168"/>
    <x v="62"/>
    <x v="2"/>
  </r>
  <r>
    <x v="0"/>
    <x v="44"/>
    <x v="44"/>
    <x v="45"/>
    <x v="45"/>
    <x v="45"/>
    <x v="17"/>
    <x v="410"/>
    <x v="195"/>
    <x v="53"/>
    <x v="154"/>
    <x v="223"/>
    <x v="248"/>
    <x v="2"/>
  </r>
  <r>
    <x v="0"/>
    <x v="44"/>
    <x v="44"/>
    <x v="39"/>
    <x v="39"/>
    <x v="39"/>
    <x v="17"/>
    <x v="410"/>
    <x v="195"/>
    <x v="53"/>
    <x v="154"/>
    <x v="223"/>
    <x v="248"/>
    <x v="2"/>
  </r>
  <r>
    <x v="0"/>
    <x v="45"/>
    <x v="45"/>
    <x v="0"/>
    <x v="0"/>
    <x v="0"/>
    <x v="0"/>
    <x v="276"/>
    <x v="308"/>
    <x v="141"/>
    <x v="491"/>
    <x v="169"/>
    <x v="372"/>
    <x v="2"/>
  </r>
  <r>
    <x v="0"/>
    <x v="45"/>
    <x v="45"/>
    <x v="2"/>
    <x v="2"/>
    <x v="2"/>
    <x v="1"/>
    <x v="279"/>
    <x v="70"/>
    <x v="162"/>
    <x v="0"/>
    <x v="313"/>
    <x v="176"/>
    <x v="2"/>
  </r>
  <r>
    <x v="0"/>
    <x v="45"/>
    <x v="45"/>
    <x v="8"/>
    <x v="8"/>
    <x v="8"/>
    <x v="2"/>
    <x v="280"/>
    <x v="309"/>
    <x v="162"/>
    <x v="0"/>
    <x v="102"/>
    <x v="80"/>
    <x v="2"/>
  </r>
  <r>
    <x v="0"/>
    <x v="45"/>
    <x v="45"/>
    <x v="6"/>
    <x v="6"/>
    <x v="6"/>
    <x v="3"/>
    <x v="357"/>
    <x v="277"/>
    <x v="149"/>
    <x v="492"/>
    <x v="115"/>
    <x v="373"/>
    <x v="2"/>
  </r>
  <r>
    <x v="0"/>
    <x v="45"/>
    <x v="45"/>
    <x v="4"/>
    <x v="4"/>
    <x v="4"/>
    <x v="4"/>
    <x v="359"/>
    <x v="310"/>
    <x v="45"/>
    <x v="61"/>
    <x v="319"/>
    <x v="374"/>
    <x v="2"/>
  </r>
  <r>
    <x v="0"/>
    <x v="45"/>
    <x v="45"/>
    <x v="43"/>
    <x v="43"/>
    <x v="43"/>
    <x v="5"/>
    <x v="360"/>
    <x v="4"/>
    <x v="72"/>
    <x v="493"/>
    <x v="121"/>
    <x v="375"/>
    <x v="2"/>
  </r>
  <r>
    <x v="0"/>
    <x v="45"/>
    <x v="45"/>
    <x v="36"/>
    <x v="36"/>
    <x v="36"/>
    <x v="6"/>
    <x v="394"/>
    <x v="254"/>
    <x v="49"/>
    <x v="494"/>
    <x v="245"/>
    <x v="376"/>
    <x v="2"/>
  </r>
  <r>
    <x v="0"/>
    <x v="45"/>
    <x v="45"/>
    <x v="45"/>
    <x v="45"/>
    <x v="45"/>
    <x v="7"/>
    <x v="369"/>
    <x v="165"/>
    <x v="69"/>
    <x v="203"/>
    <x v="245"/>
    <x v="376"/>
    <x v="2"/>
  </r>
  <r>
    <x v="0"/>
    <x v="45"/>
    <x v="45"/>
    <x v="40"/>
    <x v="40"/>
    <x v="40"/>
    <x v="8"/>
    <x v="364"/>
    <x v="192"/>
    <x v="63"/>
    <x v="495"/>
    <x v="149"/>
    <x v="33"/>
    <x v="2"/>
  </r>
  <r>
    <x v="0"/>
    <x v="45"/>
    <x v="45"/>
    <x v="11"/>
    <x v="11"/>
    <x v="11"/>
    <x v="9"/>
    <x v="365"/>
    <x v="91"/>
    <x v="113"/>
    <x v="94"/>
    <x v="293"/>
    <x v="126"/>
    <x v="2"/>
  </r>
  <r>
    <x v="0"/>
    <x v="45"/>
    <x v="45"/>
    <x v="1"/>
    <x v="1"/>
    <x v="1"/>
    <x v="10"/>
    <x v="395"/>
    <x v="175"/>
    <x v="260"/>
    <x v="496"/>
    <x v="168"/>
    <x v="162"/>
    <x v="2"/>
  </r>
  <r>
    <x v="0"/>
    <x v="45"/>
    <x v="45"/>
    <x v="51"/>
    <x v="51"/>
    <x v="51"/>
    <x v="11"/>
    <x v="401"/>
    <x v="123"/>
    <x v="54"/>
    <x v="229"/>
    <x v="190"/>
    <x v="330"/>
    <x v="2"/>
  </r>
  <r>
    <x v="0"/>
    <x v="45"/>
    <x v="45"/>
    <x v="3"/>
    <x v="3"/>
    <x v="3"/>
    <x v="12"/>
    <x v="370"/>
    <x v="93"/>
    <x v="212"/>
    <x v="303"/>
    <x v="293"/>
    <x v="126"/>
    <x v="2"/>
  </r>
  <r>
    <x v="0"/>
    <x v="45"/>
    <x v="45"/>
    <x v="7"/>
    <x v="7"/>
    <x v="7"/>
    <x v="13"/>
    <x v="389"/>
    <x v="30"/>
    <x v="65"/>
    <x v="88"/>
    <x v="246"/>
    <x v="212"/>
    <x v="2"/>
  </r>
  <r>
    <x v="0"/>
    <x v="45"/>
    <x v="45"/>
    <x v="5"/>
    <x v="5"/>
    <x v="5"/>
    <x v="13"/>
    <x v="389"/>
    <x v="30"/>
    <x v="45"/>
    <x v="61"/>
    <x v="122"/>
    <x v="335"/>
    <x v="2"/>
  </r>
  <r>
    <x v="0"/>
    <x v="45"/>
    <x v="45"/>
    <x v="14"/>
    <x v="14"/>
    <x v="14"/>
    <x v="13"/>
    <x v="389"/>
    <x v="30"/>
    <x v="69"/>
    <x v="203"/>
    <x v="203"/>
    <x v="146"/>
    <x v="2"/>
  </r>
  <r>
    <x v="0"/>
    <x v="45"/>
    <x v="45"/>
    <x v="39"/>
    <x v="39"/>
    <x v="39"/>
    <x v="16"/>
    <x v="374"/>
    <x v="107"/>
    <x v="51"/>
    <x v="481"/>
    <x v="263"/>
    <x v="21"/>
    <x v="2"/>
  </r>
  <r>
    <x v="0"/>
    <x v="45"/>
    <x v="45"/>
    <x v="49"/>
    <x v="49"/>
    <x v="49"/>
    <x v="17"/>
    <x v="376"/>
    <x v="222"/>
    <x v="45"/>
    <x v="61"/>
    <x v="147"/>
    <x v="36"/>
    <x v="2"/>
  </r>
  <r>
    <x v="0"/>
    <x v="45"/>
    <x v="45"/>
    <x v="69"/>
    <x v="69"/>
    <x v="69"/>
    <x v="17"/>
    <x v="376"/>
    <x v="222"/>
    <x v="70"/>
    <x v="408"/>
    <x v="102"/>
    <x v="80"/>
    <x v="2"/>
  </r>
  <r>
    <x v="0"/>
    <x v="45"/>
    <x v="45"/>
    <x v="17"/>
    <x v="17"/>
    <x v="17"/>
    <x v="19"/>
    <x v="390"/>
    <x v="35"/>
    <x v="56"/>
    <x v="52"/>
    <x v="122"/>
    <x v="335"/>
    <x v="2"/>
  </r>
  <r>
    <x v="0"/>
    <x v="45"/>
    <x v="45"/>
    <x v="68"/>
    <x v="68"/>
    <x v="68"/>
    <x v="19"/>
    <x v="390"/>
    <x v="35"/>
    <x v="139"/>
    <x v="140"/>
    <x v="309"/>
    <x v="342"/>
    <x v="2"/>
  </r>
  <r>
    <x v="0"/>
    <x v="46"/>
    <x v="46"/>
    <x v="43"/>
    <x v="43"/>
    <x v="43"/>
    <x v="0"/>
    <x v="347"/>
    <x v="71"/>
    <x v="70"/>
    <x v="232"/>
    <x v="87"/>
    <x v="288"/>
    <x v="2"/>
  </r>
  <r>
    <x v="0"/>
    <x v="46"/>
    <x v="46"/>
    <x v="2"/>
    <x v="2"/>
    <x v="2"/>
    <x v="1"/>
    <x v="360"/>
    <x v="229"/>
    <x v="199"/>
    <x v="497"/>
    <x v="130"/>
    <x v="280"/>
    <x v="2"/>
  </r>
  <r>
    <x v="0"/>
    <x v="46"/>
    <x v="46"/>
    <x v="63"/>
    <x v="63"/>
    <x v="63"/>
    <x v="2"/>
    <x v="361"/>
    <x v="224"/>
    <x v="94"/>
    <x v="498"/>
    <x v="179"/>
    <x v="226"/>
    <x v="2"/>
  </r>
  <r>
    <x v="0"/>
    <x v="46"/>
    <x v="46"/>
    <x v="51"/>
    <x v="51"/>
    <x v="51"/>
    <x v="3"/>
    <x v="401"/>
    <x v="4"/>
    <x v="45"/>
    <x v="49"/>
    <x v="299"/>
    <x v="105"/>
    <x v="2"/>
  </r>
  <r>
    <x v="0"/>
    <x v="46"/>
    <x v="46"/>
    <x v="36"/>
    <x v="36"/>
    <x v="36"/>
    <x v="3"/>
    <x v="401"/>
    <x v="4"/>
    <x v="70"/>
    <x v="232"/>
    <x v="181"/>
    <x v="329"/>
    <x v="2"/>
  </r>
  <r>
    <x v="0"/>
    <x v="46"/>
    <x v="46"/>
    <x v="45"/>
    <x v="45"/>
    <x v="45"/>
    <x v="5"/>
    <x v="373"/>
    <x v="263"/>
    <x v="47"/>
    <x v="440"/>
    <x v="190"/>
    <x v="203"/>
    <x v="2"/>
  </r>
  <r>
    <x v="0"/>
    <x v="46"/>
    <x v="46"/>
    <x v="11"/>
    <x v="11"/>
    <x v="11"/>
    <x v="6"/>
    <x v="399"/>
    <x v="153"/>
    <x v="212"/>
    <x v="426"/>
    <x v="294"/>
    <x v="89"/>
    <x v="2"/>
  </r>
  <r>
    <x v="0"/>
    <x v="46"/>
    <x v="46"/>
    <x v="0"/>
    <x v="0"/>
    <x v="0"/>
    <x v="7"/>
    <x v="389"/>
    <x v="311"/>
    <x v="68"/>
    <x v="175"/>
    <x v="190"/>
    <x v="203"/>
    <x v="2"/>
  </r>
  <r>
    <x v="0"/>
    <x v="46"/>
    <x v="46"/>
    <x v="3"/>
    <x v="3"/>
    <x v="3"/>
    <x v="8"/>
    <x v="375"/>
    <x v="239"/>
    <x v="252"/>
    <x v="499"/>
    <x v="295"/>
    <x v="377"/>
    <x v="2"/>
  </r>
  <r>
    <x v="0"/>
    <x v="46"/>
    <x v="46"/>
    <x v="6"/>
    <x v="6"/>
    <x v="6"/>
    <x v="8"/>
    <x v="375"/>
    <x v="239"/>
    <x v="252"/>
    <x v="499"/>
    <x v="295"/>
    <x v="377"/>
    <x v="2"/>
  </r>
  <r>
    <x v="0"/>
    <x v="46"/>
    <x v="46"/>
    <x v="1"/>
    <x v="1"/>
    <x v="1"/>
    <x v="10"/>
    <x v="376"/>
    <x v="312"/>
    <x v="189"/>
    <x v="202"/>
    <x v="288"/>
    <x v="19"/>
    <x v="2"/>
  </r>
  <r>
    <x v="0"/>
    <x v="46"/>
    <x v="46"/>
    <x v="8"/>
    <x v="8"/>
    <x v="8"/>
    <x v="10"/>
    <x v="376"/>
    <x v="312"/>
    <x v="152"/>
    <x v="500"/>
    <x v="294"/>
    <x v="89"/>
    <x v="3"/>
  </r>
  <r>
    <x v="0"/>
    <x v="46"/>
    <x v="46"/>
    <x v="49"/>
    <x v="49"/>
    <x v="49"/>
    <x v="12"/>
    <x v="377"/>
    <x v="213"/>
    <x v="56"/>
    <x v="52"/>
    <x v="181"/>
    <x v="329"/>
    <x v="2"/>
  </r>
  <r>
    <x v="0"/>
    <x v="46"/>
    <x v="46"/>
    <x v="64"/>
    <x v="64"/>
    <x v="64"/>
    <x v="13"/>
    <x v="378"/>
    <x v="182"/>
    <x v="68"/>
    <x v="175"/>
    <x v="263"/>
    <x v="207"/>
    <x v="2"/>
  </r>
  <r>
    <x v="0"/>
    <x v="46"/>
    <x v="46"/>
    <x v="67"/>
    <x v="67"/>
    <x v="67"/>
    <x v="13"/>
    <x v="378"/>
    <x v="182"/>
    <x v="94"/>
    <x v="498"/>
    <x v="123"/>
    <x v="162"/>
    <x v="2"/>
  </r>
  <r>
    <x v="0"/>
    <x v="46"/>
    <x v="46"/>
    <x v="66"/>
    <x v="66"/>
    <x v="66"/>
    <x v="15"/>
    <x v="380"/>
    <x v="31"/>
    <x v="49"/>
    <x v="417"/>
    <x v="253"/>
    <x v="185"/>
    <x v="2"/>
  </r>
  <r>
    <x v="0"/>
    <x v="46"/>
    <x v="46"/>
    <x v="70"/>
    <x v="70"/>
    <x v="70"/>
    <x v="15"/>
    <x v="380"/>
    <x v="31"/>
    <x v="51"/>
    <x v="501"/>
    <x v="223"/>
    <x v="188"/>
    <x v="2"/>
  </r>
  <r>
    <x v="0"/>
    <x v="46"/>
    <x v="46"/>
    <x v="39"/>
    <x v="39"/>
    <x v="39"/>
    <x v="15"/>
    <x v="380"/>
    <x v="31"/>
    <x v="54"/>
    <x v="5"/>
    <x v="238"/>
    <x v="132"/>
    <x v="2"/>
  </r>
  <r>
    <x v="0"/>
    <x v="46"/>
    <x v="46"/>
    <x v="69"/>
    <x v="69"/>
    <x v="69"/>
    <x v="18"/>
    <x v="381"/>
    <x v="33"/>
    <x v="47"/>
    <x v="440"/>
    <x v="238"/>
    <x v="132"/>
    <x v="2"/>
  </r>
  <r>
    <x v="0"/>
    <x v="46"/>
    <x v="46"/>
    <x v="16"/>
    <x v="16"/>
    <x v="16"/>
    <x v="18"/>
    <x v="381"/>
    <x v="33"/>
    <x v="140"/>
    <x v="502"/>
    <x v="115"/>
    <x v="269"/>
    <x v="2"/>
  </r>
  <r>
    <x v="0"/>
    <x v="47"/>
    <x v="47"/>
    <x v="2"/>
    <x v="2"/>
    <x v="2"/>
    <x v="0"/>
    <x v="350"/>
    <x v="313"/>
    <x v="220"/>
    <x v="503"/>
    <x v="187"/>
    <x v="270"/>
    <x v="2"/>
  </r>
  <r>
    <x v="0"/>
    <x v="47"/>
    <x v="47"/>
    <x v="0"/>
    <x v="0"/>
    <x v="0"/>
    <x v="1"/>
    <x v="402"/>
    <x v="314"/>
    <x v="140"/>
    <x v="400"/>
    <x v="287"/>
    <x v="378"/>
    <x v="2"/>
  </r>
  <r>
    <x v="0"/>
    <x v="47"/>
    <x v="47"/>
    <x v="6"/>
    <x v="6"/>
    <x v="6"/>
    <x v="2"/>
    <x v="345"/>
    <x v="315"/>
    <x v="146"/>
    <x v="504"/>
    <x v="123"/>
    <x v="269"/>
    <x v="2"/>
  </r>
  <r>
    <x v="0"/>
    <x v="47"/>
    <x v="47"/>
    <x v="14"/>
    <x v="14"/>
    <x v="14"/>
    <x v="3"/>
    <x v="346"/>
    <x v="198"/>
    <x v="70"/>
    <x v="381"/>
    <x v="87"/>
    <x v="379"/>
    <x v="2"/>
  </r>
  <r>
    <x v="0"/>
    <x v="47"/>
    <x v="47"/>
    <x v="4"/>
    <x v="4"/>
    <x v="4"/>
    <x v="4"/>
    <x v="361"/>
    <x v="237"/>
    <x v="56"/>
    <x v="52"/>
    <x v="73"/>
    <x v="380"/>
    <x v="2"/>
  </r>
  <r>
    <x v="0"/>
    <x v="47"/>
    <x v="47"/>
    <x v="17"/>
    <x v="17"/>
    <x v="17"/>
    <x v="5"/>
    <x v="362"/>
    <x v="3"/>
    <x v="57"/>
    <x v="151"/>
    <x v="41"/>
    <x v="381"/>
    <x v="2"/>
  </r>
  <r>
    <x v="0"/>
    <x v="47"/>
    <x v="47"/>
    <x v="11"/>
    <x v="11"/>
    <x v="11"/>
    <x v="6"/>
    <x v="394"/>
    <x v="4"/>
    <x v="259"/>
    <x v="505"/>
    <x v="130"/>
    <x v="84"/>
    <x v="2"/>
  </r>
  <r>
    <x v="0"/>
    <x v="47"/>
    <x v="47"/>
    <x v="8"/>
    <x v="8"/>
    <x v="8"/>
    <x v="7"/>
    <x v="398"/>
    <x v="238"/>
    <x v="189"/>
    <x v="299"/>
    <x v="238"/>
    <x v="382"/>
    <x v="2"/>
  </r>
  <r>
    <x v="0"/>
    <x v="47"/>
    <x v="47"/>
    <x v="1"/>
    <x v="1"/>
    <x v="1"/>
    <x v="8"/>
    <x v="388"/>
    <x v="261"/>
    <x v="260"/>
    <x v="506"/>
    <x v="253"/>
    <x v="118"/>
    <x v="2"/>
  </r>
  <r>
    <x v="0"/>
    <x v="47"/>
    <x v="47"/>
    <x v="7"/>
    <x v="7"/>
    <x v="7"/>
    <x v="9"/>
    <x v="373"/>
    <x v="7"/>
    <x v="51"/>
    <x v="507"/>
    <x v="122"/>
    <x v="60"/>
    <x v="2"/>
  </r>
  <r>
    <x v="0"/>
    <x v="47"/>
    <x v="47"/>
    <x v="5"/>
    <x v="5"/>
    <x v="5"/>
    <x v="10"/>
    <x v="399"/>
    <x v="28"/>
    <x v="47"/>
    <x v="398"/>
    <x v="122"/>
    <x v="60"/>
    <x v="2"/>
  </r>
  <r>
    <x v="0"/>
    <x v="47"/>
    <x v="47"/>
    <x v="40"/>
    <x v="40"/>
    <x v="40"/>
    <x v="11"/>
    <x v="389"/>
    <x v="93"/>
    <x v="70"/>
    <x v="381"/>
    <x v="203"/>
    <x v="83"/>
    <x v="2"/>
  </r>
  <r>
    <x v="0"/>
    <x v="47"/>
    <x v="47"/>
    <x v="42"/>
    <x v="42"/>
    <x v="42"/>
    <x v="12"/>
    <x v="374"/>
    <x v="115"/>
    <x v="53"/>
    <x v="73"/>
    <x v="122"/>
    <x v="60"/>
    <x v="2"/>
  </r>
  <r>
    <x v="0"/>
    <x v="47"/>
    <x v="47"/>
    <x v="12"/>
    <x v="12"/>
    <x v="12"/>
    <x v="13"/>
    <x v="376"/>
    <x v="107"/>
    <x v="47"/>
    <x v="398"/>
    <x v="263"/>
    <x v="274"/>
    <x v="2"/>
  </r>
  <r>
    <x v="0"/>
    <x v="47"/>
    <x v="47"/>
    <x v="45"/>
    <x v="45"/>
    <x v="45"/>
    <x v="14"/>
    <x v="390"/>
    <x v="80"/>
    <x v="57"/>
    <x v="151"/>
    <x v="181"/>
    <x v="383"/>
    <x v="2"/>
  </r>
  <r>
    <x v="0"/>
    <x v="47"/>
    <x v="47"/>
    <x v="36"/>
    <x v="36"/>
    <x v="36"/>
    <x v="15"/>
    <x v="377"/>
    <x v="12"/>
    <x v="57"/>
    <x v="151"/>
    <x v="149"/>
    <x v="249"/>
    <x v="2"/>
  </r>
  <r>
    <x v="0"/>
    <x v="47"/>
    <x v="47"/>
    <x v="71"/>
    <x v="71"/>
    <x v="71"/>
    <x v="15"/>
    <x v="377"/>
    <x v="12"/>
    <x v="68"/>
    <x v="175"/>
    <x v="147"/>
    <x v="131"/>
    <x v="2"/>
  </r>
  <r>
    <x v="0"/>
    <x v="47"/>
    <x v="47"/>
    <x v="9"/>
    <x v="9"/>
    <x v="9"/>
    <x v="17"/>
    <x v="391"/>
    <x v="36"/>
    <x v="56"/>
    <x v="52"/>
    <x v="147"/>
    <x v="131"/>
    <x v="2"/>
  </r>
  <r>
    <x v="0"/>
    <x v="47"/>
    <x v="47"/>
    <x v="10"/>
    <x v="10"/>
    <x v="10"/>
    <x v="17"/>
    <x v="391"/>
    <x v="36"/>
    <x v="76"/>
    <x v="367"/>
    <x v="294"/>
    <x v="34"/>
    <x v="2"/>
  </r>
  <r>
    <x v="0"/>
    <x v="47"/>
    <x v="47"/>
    <x v="41"/>
    <x v="41"/>
    <x v="41"/>
    <x v="19"/>
    <x v="379"/>
    <x v="116"/>
    <x v="53"/>
    <x v="73"/>
    <x v="313"/>
    <x v="163"/>
    <x v="2"/>
  </r>
  <r>
    <x v="0"/>
    <x v="48"/>
    <x v="48"/>
    <x v="0"/>
    <x v="0"/>
    <x v="0"/>
    <x v="0"/>
    <x v="151"/>
    <x v="316"/>
    <x v="66"/>
    <x v="508"/>
    <x v="41"/>
    <x v="384"/>
    <x v="2"/>
  </r>
  <r>
    <x v="0"/>
    <x v="48"/>
    <x v="48"/>
    <x v="2"/>
    <x v="2"/>
    <x v="2"/>
    <x v="1"/>
    <x v="369"/>
    <x v="269"/>
    <x v="125"/>
    <x v="291"/>
    <x v="130"/>
    <x v="180"/>
    <x v="2"/>
  </r>
  <r>
    <x v="0"/>
    <x v="48"/>
    <x v="48"/>
    <x v="6"/>
    <x v="6"/>
    <x v="6"/>
    <x v="2"/>
    <x v="370"/>
    <x v="145"/>
    <x v="189"/>
    <x v="509"/>
    <x v="115"/>
    <x v="161"/>
    <x v="2"/>
  </r>
  <r>
    <x v="0"/>
    <x v="48"/>
    <x v="48"/>
    <x v="8"/>
    <x v="8"/>
    <x v="8"/>
    <x v="3"/>
    <x v="399"/>
    <x v="254"/>
    <x v="104"/>
    <x v="377"/>
    <x v="123"/>
    <x v="287"/>
    <x v="2"/>
  </r>
  <r>
    <x v="0"/>
    <x v="48"/>
    <x v="48"/>
    <x v="11"/>
    <x v="11"/>
    <x v="11"/>
    <x v="4"/>
    <x v="389"/>
    <x v="89"/>
    <x v="212"/>
    <x v="510"/>
    <x v="288"/>
    <x v="196"/>
    <x v="2"/>
  </r>
  <r>
    <x v="0"/>
    <x v="48"/>
    <x v="48"/>
    <x v="4"/>
    <x v="4"/>
    <x v="4"/>
    <x v="5"/>
    <x v="374"/>
    <x v="174"/>
    <x v="45"/>
    <x v="243"/>
    <x v="181"/>
    <x v="203"/>
    <x v="2"/>
  </r>
  <r>
    <x v="0"/>
    <x v="48"/>
    <x v="48"/>
    <x v="14"/>
    <x v="14"/>
    <x v="14"/>
    <x v="5"/>
    <x v="374"/>
    <x v="174"/>
    <x v="45"/>
    <x v="243"/>
    <x v="149"/>
    <x v="201"/>
    <x v="2"/>
  </r>
  <r>
    <x v="0"/>
    <x v="48"/>
    <x v="48"/>
    <x v="5"/>
    <x v="5"/>
    <x v="5"/>
    <x v="7"/>
    <x v="377"/>
    <x v="166"/>
    <x v="94"/>
    <x v="389"/>
    <x v="253"/>
    <x v="125"/>
    <x v="2"/>
  </r>
  <r>
    <x v="0"/>
    <x v="48"/>
    <x v="48"/>
    <x v="3"/>
    <x v="3"/>
    <x v="3"/>
    <x v="8"/>
    <x v="378"/>
    <x v="136"/>
    <x v="76"/>
    <x v="511"/>
    <x v="293"/>
    <x v="157"/>
    <x v="2"/>
  </r>
  <r>
    <x v="0"/>
    <x v="48"/>
    <x v="48"/>
    <x v="64"/>
    <x v="64"/>
    <x v="64"/>
    <x v="9"/>
    <x v="391"/>
    <x v="93"/>
    <x v="45"/>
    <x v="243"/>
    <x v="102"/>
    <x v="331"/>
    <x v="3"/>
  </r>
  <r>
    <x v="0"/>
    <x v="48"/>
    <x v="48"/>
    <x v="1"/>
    <x v="1"/>
    <x v="1"/>
    <x v="9"/>
    <x v="391"/>
    <x v="93"/>
    <x v="44"/>
    <x v="512"/>
    <x v="293"/>
    <x v="157"/>
    <x v="2"/>
  </r>
  <r>
    <x v="0"/>
    <x v="48"/>
    <x v="48"/>
    <x v="51"/>
    <x v="51"/>
    <x v="51"/>
    <x v="11"/>
    <x v="380"/>
    <x v="194"/>
    <x v="54"/>
    <x v="419"/>
    <x v="238"/>
    <x v="184"/>
    <x v="2"/>
  </r>
  <r>
    <x v="0"/>
    <x v="48"/>
    <x v="48"/>
    <x v="36"/>
    <x v="36"/>
    <x v="36"/>
    <x v="11"/>
    <x v="380"/>
    <x v="194"/>
    <x v="57"/>
    <x v="198"/>
    <x v="61"/>
    <x v="256"/>
    <x v="2"/>
  </r>
  <r>
    <x v="0"/>
    <x v="48"/>
    <x v="48"/>
    <x v="43"/>
    <x v="43"/>
    <x v="43"/>
    <x v="13"/>
    <x v="409"/>
    <x v="96"/>
    <x v="56"/>
    <x v="52"/>
    <x v="313"/>
    <x v="96"/>
    <x v="2"/>
  </r>
  <r>
    <x v="0"/>
    <x v="48"/>
    <x v="48"/>
    <x v="7"/>
    <x v="7"/>
    <x v="7"/>
    <x v="13"/>
    <x v="409"/>
    <x v="96"/>
    <x v="70"/>
    <x v="192"/>
    <x v="123"/>
    <x v="287"/>
    <x v="2"/>
  </r>
  <r>
    <x v="0"/>
    <x v="48"/>
    <x v="48"/>
    <x v="18"/>
    <x v="18"/>
    <x v="18"/>
    <x v="13"/>
    <x v="409"/>
    <x v="96"/>
    <x v="56"/>
    <x v="52"/>
    <x v="313"/>
    <x v="96"/>
    <x v="2"/>
  </r>
  <r>
    <x v="0"/>
    <x v="48"/>
    <x v="48"/>
    <x v="40"/>
    <x v="40"/>
    <x v="40"/>
    <x v="13"/>
    <x v="409"/>
    <x v="96"/>
    <x v="69"/>
    <x v="345"/>
    <x v="253"/>
    <x v="125"/>
    <x v="2"/>
  </r>
  <r>
    <x v="0"/>
    <x v="48"/>
    <x v="48"/>
    <x v="49"/>
    <x v="49"/>
    <x v="49"/>
    <x v="17"/>
    <x v="410"/>
    <x v="255"/>
    <x v="57"/>
    <x v="198"/>
    <x v="225"/>
    <x v="285"/>
    <x v="2"/>
  </r>
  <r>
    <x v="0"/>
    <x v="48"/>
    <x v="48"/>
    <x v="72"/>
    <x v="72"/>
    <x v="72"/>
    <x v="17"/>
    <x v="410"/>
    <x v="255"/>
    <x v="68"/>
    <x v="46"/>
    <x v="238"/>
    <x v="184"/>
    <x v="2"/>
  </r>
  <r>
    <x v="0"/>
    <x v="48"/>
    <x v="48"/>
    <x v="47"/>
    <x v="47"/>
    <x v="47"/>
    <x v="17"/>
    <x v="410"/>
    <x v="255"/>
    <x v="140"/>
    <x v="513"/>
    <x v="293"/>
    <x v="157"/>
    <x v="2"/>
  </r>
  <r>
    <x v="0"/>
    <x v="48"/>
    <x v="48"/>
    <x v="10"/>
    <x v="10"/>
    <x v="10"/>
    <x v="17"/>
    <x v="410"/>
    <x v="255"/>
    <x v="64"/>
    <x v="514"/>
    <x v="295"/>
    <x v="385"/>
    <x v="2"/>
  </r>
  <r>
    <x v="0"/>
    <x v="48"/>
    <x v="48"/>
    <x v="15"/>
    <x v="15"/>
    <x v="15"/>
    <x v="17"/>
    <x v="410"/>
    <x v="255"/>
    <x v="56"/>
    <x v="52"/>
    <x v="238"/>
    <x v="184"/>
    <x v="5"/>
  </r>
  <r>
    <x v="0"/>
    <x v="49"/>
    <x v="49"/>
    <x v="3"/>
    <x v="3"/>
    <x v="3"/>
    <x v="0"/>
    <x v="341"/>
    <x v="317"/>
    <x v="269"/>
    <x v="515"/>
    <x v="115"/>
    <x v="313"/>
    <x v="2"/>
  </r>
  <r>
    <x v="0"/>
    <x v="49"/>
    <x v="49"/>
    <x v="2"/>
    <x v="2"/>
    <x v="2"/>
    <x v="1"/>
    <x v="357"/>
    <x v="318"/>
    <x v="226"/>
    <x v="516"/>
    <x v="234"/>
    <x v="2"/>
    <x v="2"/>
  </r>
  <r>
    <x v="0"/>
    <x v="49"/>
    <x v="49"/>
    <x v="10"/>
    <x v="10"/>
    <x v="10"/>
    <x v="2"/>
    <x v="347"/>
    <x v="319"/>
    <x v="73"/>
    <x v="517"/>
    <x v="294"/>
    <x v="261"/>
    <x v="2"/>
  </r>
  <r>
    <x v="0"/>
    <x v="49"/>
    <x v="49"/>
    <x v="1"/>
    <x v="1"/>
    <x v="1"/>
    <x v="3"/>
    <x v="359"/>
    <x v="320"/>
    <x v="37"/>
    <x v="518"/>
    <x v="130"/>
    <x v="102"/>
    <x v="2"/>
  </r>
  <r>
    <x v="0"/>
    <x v="49"/>
    <x v="49"/>
    <x v="11"/>
    <x v="11"/>
    <x v="11"/>
    <x v="4"/>
    <x v="398"/>
    <x v="321"/>
    <x v="55"/>
    <x v="519"/>
    <x v="293"/>
    <x v="6"/>
    <x v="2"/>
  </r>
  <r>
    <x v="0"/>
    <x v="49"/>
    <x v="49"/>
    <x v="5"/>
    <x v="5"/>
    <x v="5"/>
    <x v="5"/>
    <x v="389"/>
    <x v="278"/>
    <x v="57"/>
    <x v="15"/>
    <x v="311"/>
    <x v="386"/>
    <x v="2"/>
  </r>
  <r>
    <x v="0"/>
    <x v="49"/>
    <x v="49"/>
    <x v="6"/>
    <x v="6"/>
    <x v="6"/>
    <x v="5"/>
    <x v="389"/>
    <x v="278"/>
    <x v="252"/>
    <x v="520"/>
    <x v="294"/>
    <x v="261"/>
    <x v="2"/>
  </r>
  <r>
    <x v="0"/>
    <x v="49"/>
    <x v="49"/>
    <x v="8"/>
    <x v="8"/>
    <x v="8"/>
    <x v="7"/>
    <x v="374"/>
    <x v="157"/>
    <x v="189"/>
    <x v="300"/>
    <x v="293"/>
    <x v="6"/>
    <x v="2"/>
  </r>
  <r>
    <x v="0"/>
    <x v="49"/>
    <x v="49"/>
    <x v="0"/>
    <x v="0"/>
    <x v="0"/>
    <x v="8"/>
    <x v="375"/>
    <x v="44"/>
    <x v="54"/>
    <x v="162"/>
    <x v="263"/>
    <x v="387"/>
    <x v="2"/>
  </r>
  <r>
    <x v="0"/>
    <x v="49"/>
    <x v="49"/>
    <x v="40"/>
    <x v="40"/>
    <x v="40"/>
    <x v="9"/>
    <x v="381"/>
    <x v="243"/>
    <x v="69"/>
    <x v="521"/>
    <x v="246"/>
    <x v="238"/>
    <x v="2"/>
  </r>
  <r>
    <x v="0"/>
    <x v="49"/>
    <x v="49"/>
    <x v="9"/>
    <x v="9"/>
    <x v="9"/>
    <x v="10"/>
    <x v="409"/>
    <x v="123"/>
    <x v="56"/>
    <x v="52"/>
    <x v="313"/>
    <x v="4"/>
    <x v="2"/>
  </r>
  <r>
    <x v="0"/>
    <x v="49"/>
    <x v="49"/>
    <x v="49"/>
    <x v="49"/>
    <x v="49"/>
    <x v="11"/>
    <x v="410"/>
    <x v="29"/>
    <x v="53"/>
    <x v="324"/>
    <x v="223"/>
    <x v="364"/>
    <x v="2"/>
  </r>
  <r>
    <x v="0"/>
    <x v="49"/>
    <x v="49"/>
    <x v="63"/>
    <x v="63"/>
    <x v="63"/>
    <x v="11"/>
    <x v="410"/>
    <x v="29"/>
    <x v="47"/>
    <x v="183"/>
    <x v="246"/>
    <x v="238"/>
    <x v="2"/>
  </r>
  <r>
    <x v="0"/>
    <x v="49"/>
    <x v="49"/>
    <x v="45"/>
    <x v="45"/>
    <x v="45"/>
    <x v="13"/>
    <x v="326"/>
    <x v="222"/>
    <x v="57"/>
    <x v="15"/>
    <x v="223"/>
    <x v="364"/>
    <x v="2"/>
  </r>
  <r>
    <x v="0"/>
    <x v="49"/>
    <x v="49"/>
    <x v="16"/>
    <x v="16"/>
    <x v="16"/>
    <x v="13"/>
    <x v="326"/>
    <x v="222"/>
    <x v="69"/>
    <x v="521"/>
    <x v="115"/>
    <x v="313"/>
    <x v="2"/>
  </r>
  <r>
    <x v="0"/>
    <x v="49"/>
    <x v="49"/>
    <x v="43"/>
    <x v="43"/>
    <x v="43"/>
    <x v="15"/>
    <x v="406"/>
    <x v="127"/>
    <x v="45"/>
    <x v="194"/>
    <x v="309"/>
    <x v="139"/>
    <x v="2"/>
  </r>
  <r>
    <x v="0"/>
    <x v="49"/>
    <x v="49"/>
    <x v="4"/>
    <x v="4"/>
    <x v="4"/>
    <x v="15"/>
    <x v="406"/>
    <x v="127"/>
    <x v="56"/>
    <x v="52"/>
    <x v="168"/>
    <x v="248"/>
    <x v="2"/>
  </r>
  <r>
    <x v="0"/>
    <x v="49"/>
    <x v="49"/>
    <x v="68"/>
    <x v="68"/>
    <x v="68"/>
    <x v="15"/>
    <x v="406"/>
    <x v="127"/>
    <x v="69"/>
    <x v="521"/>
    <x v="150"/>
    <x v="77"/>
    <x v="2"/>
  </r>
  <r>
    <x v="0"/>
    <x v="49"/>
    <x v="49"/>
    <x v="7"/>
    <x v="7"/>
    <x v="7"/>
    <x v="18"/>
    <x v="407"/>
    <x v="118"/>
    <x v="47"/>
    <x v="183"/>
    <x v="115"/>
    <x v="313"/>
    <x v="2"/>
  </r>
  <r>
    <x v="0"/>
    <x v="49"/>
    <x v="49"/>
    <x v="67"/>
    <x v="67"/>
    <x v="67"/>
    <x v="18"/>
    <x v="407"/>
    <x v="118"/>
    <x v="51"/>
    <x v="522"/>
    <x v="150"/>
    <x v="77"/>
    <x v="2"/>
  </r>
  <r>
    <x v="0"/>
    <x v="50"/>
    <x v="50"/>
    <x v="2"/>
    <x v="2"/>
    <x v="2"/>
    <x v="0"/>
    <x v="353"/>
    <x v="322"/>
    <x v="176"/>
    <x v="523"/>
    <x v="294"/>
    <x v="56"/>
    <x v="2"/>
  </r>
  <r>
    <x v="0"/>
    <x v="50"/>
    <x v="50"/>
    <x v="66"/>
    <x v="66"/>
    <x v="66"/>
    <x v="1"/>
    <x v="360"/>
    <x v="152"/>
    <x v="266"/>
    <x v="524"/>
    <x v="238"/>
    <x v="195"/>
    <x v="2"/>
  </r>
  <r>
    <x v="0"/>
    <x v="50"/>
    <x v="50"/>
    <x v="11"/>
    <x v="11"/>
    <x v="11"/>
    <x v="2"/>
    <x v="361"/>
    <x v="73"/>
    <x v="154"/>
    <x v="290"/>
    <x v="295"/>
    <x v="388"/>
    <x v="2"/>
  </r>
  <r>
    <x v="0"/>
    <x v="50"/>
    <x v="50"/>
    <x v="64"/>
    <x v="64"/>
    <x v="64"/>
    <x v="3"/>
    <x v="398"/>
    <x v="278"/>
    <x v="70"/>
    <x v="525"/>
    <x v="179"/>
    <x v="389"/>
    <x v="2"/>
  </r>
  <r>
    <x v="0"/>
    <x v="50"/>
    <x v="50"/>
    <x v="1"/>
    <x v="1"/>
    <x v="1"/>
    <x v="4"/>
    <x v="365"/>
    <x v="158"/>
    <x v="113"/>
    <x v="6"/>
    <x v="293"/>
    <x v="241"/>
    <x v="2"/>
  </r>
  <r>
    <x v="0"/>
    <x v="50"/>
    <x v="50"/>
    <x v="63"/>
    <x v="63"/>
    <x v="63"/>
    <x v="5"/>
    <x v="388"/>
    <x v="3"/>
    <x v="65"/>
    <x v="526"/>
    <x v="305"/>
    <x v="257"/>
    <x v="2"/>
  </r>
  <r>
    <x v="0"/>
    <x v="50"/>
    <x v="50"/>
    <x v="36"/>
    <x v="36"/>
    <x v="36"/>
    <x v="6"/>
    <x v="373"/>
    <x v="145"/>
    <x v="69"/>
    <x v="162"/>
    <x v="181"/>
    <x v="108"/>
    <x v="2"/>
  </r>
  <r>
    <x v="0"/>
    <x v="50"/>
    <x v="50"/>
    <x v="16"/>
    <x v="16"/>
    <x v="16"/>
    <x v="7"/>
    <x v="374"/>
    <x v="192"/>
    <x v="44"/>
    <x v="527"/>
    <x v="123"/>
    <x v="7"/>
    <x v="2"/>
  </r>
  <r>
    <x v="0"/>
    <x v="50"/>
    <x v="50"/>
    <x v="6"/>
    <x v="6"/>
    <x v="6"/>
    <x v="7"/>
    <x v="374"/>
    <x v="192"/>
    <x v="98"/>
    <x v="215"/>
    <x v="294"/>
    <x v="56"/>
    <x v="2"/>
  </r>
  <r>
    <x v="0"/>
    <x v="50"/>
    <x v="50"/>
    <x v="3"/>
    <x v="3"/>
    <x v="3"/>
    <x v="9"/>
    <x v="375"/>
    <x v="203"/>
    <x v="189"/>
    <x v="490"/>
    <x v="294"/>
    <x v="56"/>
    <x v="2"/>
  </r>
  <r>
    <x v="0"/>
    <x v="50"/>
    <x v="50"/>
    <x v="7"/>
    <x v="7"/>
    <x v="7"/>
    <x v="10"/>
    <x v="390"/>
    <x v="8"/>
    <x v="94"/>
    <x v="495"/>
    <x v="246"/>
    <x v="35"/>
    <x v="2"/>
  </r>
  <r>
    <x v="0"/>
    <x v="50"/>
    <x v="50"/>
    <x v="49"/>
    <x v="49"/>
    <x v="49"/>
    <x v="11"/>
    <x v="378"/>
    <x v="92"/>
    <x v="45"/>
    <x v="324"/>
    <x v="61"/>
    <x v="86"/>
    <x v="2"/>
  </r>
  <r>
    <x v="0"/>
    <x v="50"/>
    <x v="50"/>
    <x v="69"/>
    <x v="69"/>
    <x v="69"/>
    <x v="11"/>
    <x v="378"/>
    <x v="92"/>
    <x v="69"/>
    <x v="162"/>
    <x v="225"/>
    <x v="335"/>
    <x v="2"/>
  </r>
  <r>
    <x v="0"/>
    <x v="50"/>
    <x v="50"/>
    <x v="43"/>
    <x v="43"/>
    <x v="43"/>
    <x v="11"/>
    <x v="378"/>
    <x v="92"/>
    <x v="45"/>
    <x v="324"/>
    <x v="61"/>
    <x v="86"/>
    <x v="2"/>
  </r>
  <r>
    <x v="0"/>
    <x v="50"/>
    <x v="50"/>
    <x v="9"/>
    <x v="9"/>
    <x v="9"/>
    <x v="14"/>
    <x v="380"/>
    <x v="108"/>
    <x v="51"/>
    <x v="528"/>
    <x v="223"/>
    <x v="49"/>
    <x v="2"/>
  </r>
  <r>
    <x v="0"/>
    <x v="50"/>
    <x v="50"/>
    <x v="48"/>
    <x v="48"/>
    <x v="48"/>
    <x v="15"/>
    <x v="381"/>
    <x v="222"/>
    <x v="94"/>
    <x v="495"/>
    <x v="234"/>
    <x v="220"/>
    <x v="2"/>
  </r>
  <r>
    <x v="0"/>
    <x v="50"/>
    <x v="50"/>
    <x v="41"/>
    <x v="41"/>
    <x v="41"/>
    <x v="15"/>
    <x v="381"/>
    <x v="222"/>
    <x v="54"/>
    <x v="469"/>
    <x v="223"/>
    <x v="49"/>
    <x v="2"/>
  </r>
  <r>
    <x v="0"/>
    <x v="50"/>
    <x v="50"/>
    <x v="8"/>
    <x v="8"/>
    <x v="8"/>
    <x v="15"/>
    <x v="381"/>
    <x v="222"/>
    <x v="63"/>
    <x v="529"/>
    <x v="150"/>
    <x v="141"/>
    <x v="2"/>
  </r>
  <r>
    <x v="0"/>
    <x v="50"/>
    <x v="50"/>
    <x v="67"/>
    <x v="67"/>
    <x v="67"/>
    <x v="15"/>
    <x v="381"/>
    <x v="222"/>
    <x v="70"/>
    <x v="525"/>
    <x v="253"/>
    <x v="80"/>
    <x v="2"/>
  </r>
  <r>
    <x v="0"/>
    <x v="50"/>
    <x v="50"/>
    <x v="39"/>
    <x v="39"/>
    <x v="39"/>
    <x v="19"/>
    <x v="409"/>
    <x v="14"/>
    <x v="45"/>
    <x v="324"/>
    <x v="238"/>
    <x v="195"/>
    <x v="2"/>
  </r>
  <r>
    <x v="0"/>
    <x v="50"/>
    <x v="50"/>
    <x v="14"/>
    <x v="14"/>
    <x v="14"/>
    <x v="19"/>
    <x v="409"/>
    <x v="14"/>
    <x v="51"/>
    <x v="528"/>
    <x v="246"/>
    <x v="35"/>
    <x v="2"/>
  </r>
  <r>
    <x v="0"/>
    <x v="51"/>
    <x v="51"/>
    <x v="0"/>
    <x v="0"/>
    <x v="0"/>
    <x v="0"/>
    <x v="206"/>
    <x v="323"/>
    <x v="274"/>
    <x v="238"/>
    <x v="119"/>
    <x v="390"/>
    <x v="2"/>
  </r>
  <r>
    <x v="0"/>
    <x v="51"/>
    <x v="51"/>
    <x v="2"/>
    <x v="2"/>
    <x v="2"/>
    <x v="1"/>
    <x v="125"/>
    <x v="324"/>
    <x v="167"/>
    <x v="457"/>
    <x v="181"/>
    <x v="82"/>
    <x v="2"/>
  </r>
  <r>
    <x v="0"/>
    <x v="51"/>
    <x v="51"/>
    <x v="6"/>
    <x v="6"/>
    <x v="6"/>
    <x v="2"/>
    <x v="411"/>
    <x v="302"/>
    <x v="271"/>
    <x v="85"/>
    <x v="168"/>
    <x v="391"/>
    <x v="2"/>
  </r>
  <r>
    <x v="0"/>
    <x v="51"/>
    <x v="51"/>
    <x v="8"/>
    <x v="8"/>
    <x v="8"/>
    <x v="3"/>
    <x v="337"/>
    <x v="170"/>
    <x v="204"/>
    <x v="432"/>
    <x v="149"/>
    <x v="246"/>
    <x v="2"/>
  </r>
  <r>
    <x v="0"/>
    <x v="51"/>
    <x v="51"/>
    <x v="11"/>
    <x v="11"/>
    <x v="11"/>
    <x v="4"/>
    <x v="338"/>
    <x v="88"/>
    <x v="181"/>
    <x v="530"/>
    <x v="253"/>
    <x v="112"/>
    <x v="2"/>
  </r>
  <r>
    <x v="0"/>
    <x v="51"/>
    <x v="51"/>
    <x v="3"/>
    <x v="3"/>
    <x v="3"/>
    <x v="5"/>
    <x v="393"/>
    <x v="58"/>
    <x v="131"/>
    <x v="174"/>
    <x v="309"/>
    <x v="392"/>
    <x v="2"/>
  </r>
  <r>
    <x v="0"/>
    <x v="51"/>
    <x v="51"/>
    <x v="4"/>
    <x v="4"/>
    <x v="4"/>
    <x v="6"/>
    <x v="280"/>
    <x v="75"/>
    <x v="45"/>
    <x v="477"/>
    <x v="220"/>
    <x v="393"/>
    <x v="2"/>
  </r>
  <r>
    <x v="0"/>
    <x v="51"/>
    <x v="51"/>
    <x v="40"/>
    <x v="40"/>
    <x v="40"/>
    <x v="6"/>
    <x v="280"/>
    <x v="75"/>
    <x v="243"/>
    <x v="447"/>
    <x v="311"/>
    <x v="394"/>
    <x v="2"/>
  </r>
  <r>
    <x v="0"/>
    <x v="51"/>
    <x v="51"/>
    <x v="16"/>
    <x v="16"/>
    <x v="16"/>
    <x v="8"/>
    <x v="372"/>
    <x v="62"/>
    <x v="243"/>
    <x v="447"/>
    <x v="187"/>
    <x v="150"/>
    <x v="2"/>
  </r>
  <r>
    <x v="0"/>
    <x v="51"/>
    <x v="51"/>
    <x v="1"/>
    <x v="1"/>
    <x v="1"/>
    <x v="9"/>
    <x v="341"/>
    <x v="153"/>
    <x v="226"/>
    <x v="367"/>
    <x v="238"/>
    <x v="3"/>
    <x v="2"/>
  </r>
  <r>
    <x v="0"/>
    <x v="51"/>
    <x v="51"/>
    <x v="10"/>
    <x v="10"/>
    <x v="10"/>
    <x v="10"/>
    <x v="347"/>
    <x v="113"/>
    <x v="168"/>
    <x v="531"/>
    <x v="293"/>
    <x v="34"/>
    <x v="2"/>
  </r>
  <r>
    <x v="0"/>
    <x v="51"/>
    <x v="51"/>
    <x v="45"/>
    <x v="45"/>
    <x v="45"/>
    <x v="11"/>
    <x v="359"/>
    <x v="115"/>
    <x v="45"/>
    <x v="477"/>
    <x v="319"/>
    <x v="165"/>
    <x v="2"/>
  </r>
  <r>
    <x v="0"/>
    <x v="51"/>
    <x v="51"/>
    <x v="9"/>
    <x v="9"/>
    <x v="9"/>
    <x v="11"/>
    <x v="359"/>
    <x v="115"/>
    <x v="45"/>
    <x v="477"/>
    <x v="319"/>
    <x v="165"/>
    <x v="2"/>
  </r>
  <r>
    <x v="0"/>
    <x v="51"/>
    <x v="51"/>
    <x v="68"/>
    <x v="68"/>
    <x v="68"/>
    <x v="13"/>
    <x v="403"/>
    <x v="183"/>
    <x v="266"/>
    <x v="489"/>
    <x v="225"/>
    <x v="154"/>
    <x v="2"/>
  </r>
  <r>
    <x v="0"/>
    <x v="51"/>
    <x v="51"/>
    <x v="39"/>
    <x v="39"/>
    <x v="39"/>
    <x v="14"/>
    <x v="360"/>
    <x v="106"/>
    <x v="70"/>
    <x v="243"/>
    <x v="251"/>
    <x v="117"/>
    <x v="2"/>
  </r>
  <r>
    <x v="0"/>
    <x v="51"/>
    <x v="51"/>
    <x v="12"/>
    <x v="12"/>
    <x v="12"/>
    <x v="14"/>
    <x v="360"/>
    <x v="106"/>
    <x v="53"/>
    <x v="4"/>
    <x v="41"/>
    <x v="308"/>
    <x v="2"/>
  </r>
  <r>
    <x v="0"/>
    <x v="51"/>
    <x v="51"/>
    <x v="43"/>
    <x v="43"/>
    <x v="43"/>
    <x v="16"/>
    <x v="394"/>
    <x v="125"/>
    <x v="47"/>
    <x v="175"/>
    <x v="97"/>
    <x v="335"/>
    <x v="2"/>
  </r>
  <r>
    <x v="0"/>
    <x v="51"/>
    <x v="51"/>
    <x v="14"/>
    <x v="14"/>
    <x v="14"/>
    <x v="16"/>
    <x v="394"/>
    <x v="125"/>
    <x v="47"/>
    <x v="175"/>
    <x v="97"/>
    <x v="335"/>
    <x v="2"/>
  </r>
  <r>
    <x v="0"/>
    <x v="51"/>
    <x v="51"/>
    <x v="19"/>
    <x v="19"/>
    <x v="19"/>
    <x v="16"/>
    <x v="394"/>
    <x v="125"/>
    <x v="37"/>
    <x v="244"/>
    <x v="294"/>
    <x v="160"/>
    <x v="2"/>
  </r>
  <r>
    <x v="0"/>
    <x v="51"/>
    <x v="51"/>
    <x v="7"/>
    <x v="7"/>
    <x v="7"/>
    <x v="19"/>
    <x v="364"/>
    <x v="15"/>
    <x v="104"/>
    <x v="532"/>
    <x v="102"/>
    <x v="87"/>
    <x v="2"/>
  </r>
  <r>
    <x v="0"/>
    <x v="51"/>
    <x v="51"/>
    <x v="5"/>
    <x v="5"/>
    <x v="5"/>
    <x v="19"/>
    <x v="364"/>
    <x v="15"/>
    <x v="54"/>
    <x v="60"/>
    <x v="245"/>
    <x v="395"/>
    <x v="2"/>
  </r>
  <r>
    <x v="0"/>
    <x v="52"/>
    <x v="52"/>
    <x v="63"/>
    <x v="63"/>
    <x v="63"/>
    <x v="0"/>
    <x v="363"/>
    <x v="325"/>
    <x v="65"/>
    <x v="305"/>
    <x v="149"/>
    <x v="277"/>
    <x v="2"/>
  </r>
  <r>
    <x v="0"/>
    <x v="52"/>
    <x v="52"/>
    <x v="53"/>
    <x v="53"/>
    <x v="53"/>
    <x v="1"/>
    <x v="365"/>
    <x v="326"/>
    <x v="70"/>
    <x v="153"/>
    <x v="311"/>
    <x v="389"/>
    <x v="2"/>
  </r>
  <r>
    <x v="0"/>
    <x v="52"/>
    <x v="52"/>
    <x v="67"/>
    <x v="67"/>
    <x v="67"/>
    <x v="2"/>
    <x v="396"/>
    <x v="300"/>
    <x v="65"/>
    <x v="305"/>
    <x v="102"/>
    <x v="279"/>
    <x v="2"/>
  </r>
  <r>
    <x v="0"/>
    <x v="52"/>
    <x v="52"/>
    <x v="0"/>
    <x v="0"/>
    <x v="0"/>
    <x v="3"/>
    <x v="379"/>
    <x v="76"/>
    <x v="57"/>
    <x v="74"/>
    <x v="203"/>
    <x v="254"/>
    <x v="2"/>
  </r>
  <r>
    <x v="0"/>
    <x v="52"/>
    <x v="52"/>
    <x v="11"/>
    <x v="11"/>
    <x v="11"/>
    <x v="4"/>
    <x v="409"/>
    <x v="135"/>
    <x v="44"/>
    <x v="23"/>
    <x v="320"/>
    <x v="340"/>
    <x v="2"/>
  </r>
  <r>
    <x v="0"/>
    <x v="52"/>
    <x v="52"/>
    <x v="2"/>
    <x v="2"/>
    <x v="2"/>
    <x v="5"/>
    <x v="404"/>
    <x v="103"/>
    <x v="139"/>
    <x v="533"/>
    <x v="295"/>
    <x v="31"/>
    <x v="2"/>
  </r>
  <r>
    <x v="0"/>
    <x v="52"/>
    <x v="52"/>
    <x v="51"/>
    <x v="51"/>
    <x v="51"/>
    <x v="6"/>
    <x v="410"/>
    <x v="182"/>
    <x v="45"/>
    <x v="408"/>
    <x v="168"/>
    <x v="395"/>
    <x v="2"/>
  </r>
  <r>
    <x v="0"/>
    <x v="52"/>
    <x v="52"/>
    <x v="49"/>
    <x v="49"/>
    <x v="49"/>
    <x v="7"/>
    <x v="325"/>
    <x v="11"/>
    <x v="68"/>
    <x v="285"/>
    <x v="223"/>
    <x v="195"/>
    <x v="2"/>
  </r>
  <r>
    <x v="0"/>
    <x v="52"/>
    <x v="52"/>
    <x v="64"/>
    <x v="64"/>
    <x v="64"/>
    <x v="8"/>
    <x v="326"/>
    <x v="195"/>
    <x v="57"/>
    <x v="74"/>
    <x v="223"/>
    <x v="195"/>
    <x v="2"/>
  </r>
  <r>
    <x v="0"/>
    <x v="52"/>
    <x v="52"/>
    <x v="66"/>
    <x v="66"/>
    <x v="66"/>
    <x v="8"/>
    <x v="326"/>
    <x v="195"/>
    <x v="70"/>
    <x v="153"/>
    <x v="234"/>
    <x v="280"/>
    <x v="2"/>
  </r>
  <r>
    <x v="0"/>
    <x v="52"/>
    <x v="52"/>
    <x v="70"/>
    <x v="70"/>
    <x v="70"/>
    <x v="8"/>
    <x v="326"/>
    <x v="195"/>
    <x v="47"/>
    <x v="155"/>
    <x v="123"/>
    <x v="128"/>
    <x v="2"/>
  </r>
  <r>
    <x v="0"/>
    <x v="52"/>
    <x v="52"/>
    <x v="36"/>
    <x v="36"/>
    <x v="36"/>
    <x v="8"/>
    <x v="326"/>
    <x v="195"/>
    <x v="45"/>
    <x v="408"/>
    <x v="253"/>
    <x v="326"/>
    <x v="2"/>
  </r>
  <r>
    <x v="0"/>
    <x v="52"/>
    <x v="52"/>
    <x v="73"/>
    <x v="73"/>
    <x v="73"/>
    <x v="8"/>
    <x v="326"/>
    <x v="195"/>
    <x v="53"/>
    <x v="280"/>
    <x v="246"/>
    <x v="191"/>
    <x v="2"/>
  </r>
  <r>
    <x v="0"/>
    <x v="52"/>
    <x v="52"/>
    <x v="52"/>
    <x v="52"/>
    <x v="52"/>
    <x v="13"/>
    <x v="405"/>
    <x v="12"/>
    <x v="45"/>
    <x v="408"/>
    <x v="123"/>
    <x v="128"/>
    <x v="2"/>
  </r>
  <r>
    <x v="0"/>
    <x v="52"/>
    <x v="52"/>
    <x v="1"/>
    <x v="1"/>
    <x v="1"/>
    <x v="13"/>
    <x v="405"/>
    <x v="12"/>
    <x v="69"/>
    <x v="88"/>
    <x v="234"/>
    <x v="280"/>
    <x v="2"/>
  </r>
  <r>
    <x v="0"/>
    <x v="52"/>
    <x v="52"/>
    <x v="44"/>
    <x v="44"/>
    <x v="44"/>
    <x v="15"/>
    <x v="406"/>
    <x v="16"/>
    <x v="57"/>
    <x v="74"/>
    <x v="246"/>
    <x v="191"/>
    <x v="2"/>
  </r>
  <r>
    <x v="0"/>
    <x v="52"/>
    <x v="52"/>
    <x v="16"/>
    <x v="16"/>
    <x v="16"/>
    <x v="15"/>
    <x v="406"/>
    <x v="16"/>
    <x v="51"/>
    <x v="534"/>
    <x v="234"/>
    <x v="280"/>
    <x v="2"/>
  </r>
  <r>
    <x v="0"/>
    <x v="52"/>
    <x v="52"/>
    <x v="74"/>
    <x v="74"/>
    <x v="74"/>
    <x v="17"/>
    <x v="407"/>
    <x v="139"/>
    <x v="57"/>
    <x v="74"/>
    <x v="253"/>
    <x v="326"/>
    <x v="2"/>
  </r>
  <r>
    <x v="0"/>
    <x v="52"/>
    <x v="52"/>
    <x v="5"/>
    <x v="5"/>
    <x v="5"/>
    <x v="17"/>
    <x v="407"/>
    <x v="139"/>
    <x v="56"/>
    <x v="52"/>
    <x v="246"/>
    <x v="191"/>
    <x v="2"/>
  </r>
  <r>
    <x v="0"/>
    <x v="52"/>
    <x v="52"/>
    <x v="6"/>
    <x v="6"/>
    <x v="6"/>
    <x v="17"/>
    <x v="407"/>
    <x v="139"/>
    <x v="72"/>
    <x v="418"/>
    <x v="295"/>
    <x v="31"/>
    <x v="2"/>
  </r>
  <r>
    <x v="0"/>
    <x v="53"/>
    <x v="53"/>
    <x v="75"/>
    <x v="75"/>
    <x v="75"/>
    <x v="0"/>
    <x v="325"/>
    <x v="327"/>
    <x v="51"/>
    <x v="535"/>
    <x v="309"/>
    <x v="281"/>
    <x v="2"/>
  </r>
  <r>
    <x v="0"/>
    <x v="53"/>
    <x v="53"/>
    <x v="66"/>
    <x v="66"/>
    <x v="66"/>
    <x v="1"/>
    <x v="406"/>
    <x v="328"/>
    <x v="69"/>
    <x v="536"/>
    <x v="150"/>
    <x v="158"/>
    <x v="2"/>
  </r>
  <r>
    <x v="0"/>
    <x v="53"/>
    <x v="53"/>
    <x v="64"/>
    <x v="64"/>
    <x v="64"/>
    <x v="2"/>
    <x v="327"/>
    <x v="268"/>
    <x v="57"/>
    <x v="311"/>
    <x v="123"/>
    <x v="396"/>
    <x v="2"/>
  </r>
  <r>
    <x v="0"/>
    <x v="53"/>
    <x v="53"/>
    <x v="7"/>
    <x v="7"/>
    <x v="7"/>
    <x v="2"/>
    <x v="327"/>
    <x v="268"/>
    <x v="54"/>
    <x v="433"/>
    <x v="150"/>
    <x v="158"/>
    <x v="2"/>
  </r>
  <r>
    <x v="0"/>
    <x v="53"/>
    <x v="53"/>
    <x v="2"/>
    <x v="2"/>
    <x v="2"/>
    <x v="4"/>
    <x v="328"/>
    <x v="250"/>
    <x v="49"/>
    <x v="358"/>
    <x v="320"/>
    <x v="340"/>
    <x v="2"/>
  </r>
  <r>
    <x v="0"/>
    <x v="53"/>
    <x v="53"/>
    <x v="69"/>
    <x v="69"/>
    <x v="69"/>
    <x v="5"/>
    <x v="412"/>
    <x v="237"/>
    <x v="53"/>
    <x v="127"/>
    <x v="234"/>
    <x v="204"/>
    <x v="2"/>
  </r>
  <r>
    <x v="0"/>
    <x v="53"/>
    <x v="53"/>
    <x v="11"/>
    <x v="11"/>
    <x v="11"/>
    <x v="6"/>
    <x v="413"/>
    <x v="78"/>
    <x v="51"/>
    <x v="535"/>
    <x v="320"/>
    <x v="340"/>
    <x v="2"/>
  </r>
  <r>
    <x v="0"/>
    <x v="53"/>
    <x v="53"/>
    <x v="8"/>
    <x v="8"/>
    <x v="8"/>
    <x v="6"/>
    <x v="413"/>
    <x v="78"/>
    <x v="54"/>
    <x v="433"/>
    <x v="295"/>
    <x v="157"/>
    <x v="2"/>
  </r>
  <r>
    <x v="0"/>
    <x v="53"/>
    <x v="53"/>
    <x v="67"/>
    <x v="67"/>
    <x v="67"/>
    <x v="6"/>
    <x v="413"/>
    <x v="78"/>
    <x v="45"/>
    <x v="537"/>
    <x v="294"/>
    <x v="102"/>
    <x v="2"/>
  </r>
  <r>
    <x v="0"/>
    <x v="53"/>
    <x v="53"/>
    <x v="36"/>
    <x v="36"/>
    <x v="36"/>
    <x v="9"/>
    <x v="414"/>
    <x v="93"/>
    <x v="57"/>
    <x v="311"/>
    <x v="150"/>
    <x v="158"/>
    <x v="2"/>
  </r>
  <r>
    <x v="0"/>
    <x v="53"/>
    <x v="53"/>
    <x v="63"/>
    <x v="63"/>
    <x v="63"/>
    <x v="9"/>
    <x v="414"/>
    <x v="93"/>
    <x v="68"/>
    <x v="522"/>
    <x v="293"/>
    <x v="49"/>
    <x v="2"/>
  </r>
  <r>
    <x v="0"/>
    <x v="53"/>
    <x v="53"/>
    <x v="0"/>
    <x v="0"/>
    <x v="0"/>
    <x v="9"/>
    <x v="414"/>
    <x v="93"/>
    <x v="68"/>
    <x v="522"/>
    <x v="293"/>
    <x v="49"/>
    <x v="2"/>
  </r>
  <r>
    <x v="0"/>
    <x v="53"/>
    <x v="53"/>
    <x v="51"/>
    <x v="51"/>
    <x v="51"/>
    <x v="12"/>
    <x v="329"/>
    <x v="12"/>
    <x v="68"/>
    <x v="522"/>
    <x v="294"/>
    <x v="102"/>
    <x v="2"/>
  </r>
  <r>
    <x v="0"/>
    <x v="53"/>
    <x v="53"/>
    <x v="43"/>
    <x v="43"/>
    <x v="43"/>
    <x v="12"/>
    <x v="329"/>
    <x v="12"/>
    <x v="56"/>
    <x v="52"/>
    <x v="150"/>
    <x v="158"/>
    <x v="2"/>
  </r>
  <r>
    <x v="0"/>
    <x v="53"/>
    <x v="53"/>
    <x v="76"/>
    <x v="76"/>
    <x v="76"/>
    <x v="12"/>
    <x v="329"/>
    <x v="12"/>
    <x v="56"/>
    <x v="52"/>
    <x v="150"/>
    <x v="158"/>
    <x v="2"/>
  </r>
  <r>
    <x v="0"/>
    <x v="53"/>
    <x v="53"/>
    <x v="32"/>
    <x v="32"/>
    <x v="32"/>
    <x v="12"/>
    <x v="329"/>
    <x v="12"/>
    <x v="68"/>
    <x v="522"/>
    <x v="294"/>
    <x v="102"/>
    <x v="2"/>
  </r>
  <r>
    <x v="0"/>
    <x v="53"/>
    <x v="53"/>
    <x v="48"/>
    <x v="48"/>
    <x v="48"/>
    <x v="12"/>
    <x v="329"/>
    <x v="12"/>
    <x v="45"/>
    <x v="537"/>
    <x v="295"/>
    <x v="157"/>
    <x v="2"/>
  </r>
  <r>
    <x v="0"/>
    <x v="53"/>
    <x v="53"/>
    <x v="58"/>
    <x v="58"/>
    <x v="58"/>
    <x v="12"/>
    <x v="329"/>
    <x v="12"/>
    <x v="53"/>
    <x v="127"/>
    <x v="288"/>
    <x v="30"/>
    <x v="2"/>
  </r>
  <r>
    <x v="0"/>
    <x v="53"/>
    <x v="53"/>
    <x v="49"/>
    <x v="49"/>
    <x v="49"/>
    <x v="18"/>
    <x v="415"/>
    <x v="118"/>
    <x v="68"/>
    <x v="522"/>
    <x v="288"/>
    <x v="30"/>
    <x v="2"/>
  </r>
  <r>
    <x v="0"/>
    <x v="53"/>
    <x v="53"/>
    <x v="45"/>
    <x v="45"/>
    <x v="45"/>
    <x v="18"/>
    <x v="415"/>
    <x v="118"/>
    <x v="53"/>
    <x v="127"/>
    <x v="295"/>
    <x v="157"/>
    <x v="2"/>
  </r>
  <r>
    <x v="0"/>
    <x v="53"/>
    <x v="53"/>
    <x v="42"/>
    <x v="42"/>
    <x v="42"/>
    <x v="18"/>
    <x v="415"/>
    <x v="118"/>
    <x v="57"/>
    <x v="311"/>
    <x v="294"/>
    <x v="102"/>
    <x v="2"/>
  </r>
  <r>
    <x v="0"/>
    <x v="53"/>
    <x v="53"/>
    <x v="77"/>
    <x v="77"/>
    <x v="77"/>
    <x v="18"/>
    <x v="415"/>
    <x v="118"/>
    <x v="57"/>
    <x v="311"/>
    <x v="294"/>
    <x v="102"/>
    <x v="2"/>
  </r>
  <r>
    <x v="0"/>
    <x v="53"/>
    <x v="53"/>
    <x v="4"/>
    <x v="4"/>
    <x v="4"/>
    <x v="18"/>
    <x v="415"/>
    <x v="118"/>
    <x v="56"/>
    <x v="52"/>
    <x v="293"/>
    <x v="49"/>
    <x v="2"/>
  </r>
  <r>
    <x v="0"/>
    <x v="53"/>
    <x v="53"/>
    <x v="1"/>
    <x v="1"/>
    <x v="1"/>
    <x v="18"/>
    <x v="415"/>
    <x v="118"/>
    <x v="53"/>
    <x v="127"/>
    <x v="295"/>
    <x v="157"/>
    <x v="2"/>
  </r>
  <r>
    <x v="0"/>
    <x v="53"/>
    <x v="53"/>
    <x v="78"/>
    <x v="78"/>
    <x v="78"/>
    <x v="18"/>
    <x v="415"/>
    <x v="118"/>
    <x v="56"/>
    <x v="52"/>
    <x v="293"/>
    <x v="49"/>
    <x v="2"/>
  </r>
  <r>
    <x v="0"/>
    <x v="53"/>
    <x v="53"/>
    <x v="79"/>
    <x v="79"/>
    <x v="79"/>
    <x v="18"/>
    <x v="415"/>
    <x v="118"/>
    <x v="56"/>
    <x v="52"/>
    <x v="293"/>
    <x v="49"/>
    <x v="2"/>
  </r>
  <r>
    <x v="0"/>
    <x v="54"/>
    <x v="54"/>
    <x v="66"/>
    <x v="66"/>
    <x v="66"/>
    <x v="0"/>
    <x v="412"/>
    <x v="329"/>
    <x v="54"/>
    <x v="538"/>
    <x v="294"/>
    <x v="397"/>
    <x v="2"/>
  </r>
  <r>
    <x v="0"/>
    <x v="54"/>
    <x v="54"/>
    <x v="80"/>
    <x v="80"/>
    <x v="80"/>
    <x v="1"/>
    <x v="413"/>
    <x v="330"/>
    <x v="45"/>
    <x v="256"/>
    <x v="294"/>
    <x v="397"/>
    <x v="2"/>
  </r>
  <r>
    <x v="0"/>
    <x v="54"/>
    <x v="54"/>
    <x v="64"/>
    <x v="64"/>
    <x v="64"/>
    <x v="2"/>
    <x v="329"/>
    <x v="284"/>
    <x v="56"/>
    <x v="52"/>
    <x v="150"/>
    <x v="398"/>
    <x v="2"/>
  </r>
  <r>
    <x v="0"/>
    <x v="54"/>
    <x v="54"/>
    <x v="81"/>
    <x v="81"/>
    <x v="81"/>
    <x v="2"/>
    <x v="329"/>
    <x v="284"/>
    <x v="53"/>
    <x v="259"/>
    <x v="288"/>
    <x v="399"/>
    <x v="2"/>
  </r>
  <r>
    <x v="0"/>
    <x v="54"/>
    <x v="54"/>
    <x v="82"/>
    <x v="82"/>
    <x v="82"/>
    <x v="2"/>
    <x v="329"/>
    <x v="284"/>
    <x v="45"/>
    <x v="256"/>
    <x v="295"/>
    <x v="400"/>
    <x v="2"/>
  </r>
  <r>
    <x v="0"/>
    <x v="54"/>
    <x v="54"/>
    <x v="70"/>
    <x v="70"/>
    <x v="70"/>
    <x v="5"/>
    <x v="415"/>
    <x v="169"/>
    <x v="45"/>
    <x v="256"/>
    <x v="320"/>
    <x v="340"/>
    <x v="2"/>
  </r>
  <r>
    <x v="0"/>
    <x v="54"/>
    <x v="54"/>
    <x v="83"/>
    <x v="83"/>
    <x v="83"/>
    <x v="5"/>
    <x v="415"/>
    <x v="169"/>
    <x v="45"/>
    <x v="256"/>
    <x v="320"/>
    <x v="340"/>
    <x v="2"/>
  </r>
  <r>
    <x v="0"/>
    <x v="54"/>
    <x v="54"/>
    <x v="16"/>
    <x v="16"/>
    <x v="16"/>
    <x v="5"/>
    <x v="415"/>
    <x v="169"/>
    <x v="68"/>
    <x v="411"/>
    <x v="288"/>
    <x v="399"/>
    <x v="2"/>
  </r>
  <r>
    <x v="0"/>
    <x v="54"/>
    <x v="54"/>
    <x v="84"/>
    <x v="84"/>
    <x v="84"/>
    <x v="8"/>
    <x v="330"/>
    <x v="279"/>
    <x v="68"/>
    <x v="411"/>
    <x v="295"/>
    <x v="400"/>
    <x v="2"/>
  </r>
  <r>
    <x v="0"/>
    <x v="54"/>
    <x v="54"/>
    <x v="85"/>
    <x v="85"/>
    <x v="85"/>
    <x v="8"/>
    <x v="330"/>
    <x v="279"/>
    <x v="56"/>
    <x v="52"/>
    <x v="294"/>
    <x v="397"/>
    <x v="2"/>
  </r>
  <r>
    <x v="0"/>
    <x v="54"/>
    <x v="54"/>
    <x v="11"/>
    <x v="11"/>
    <x v="11"/>
    <x v="8"/>
    <x v="330"/>
    <x v="279"/>
    <x v="53"/>
    <x v="259"/>
    <x v="320"/>
    <x v="340"/>
    <x v="2"/>
  </r>
  <r>
    <x v="0"/>
    <x v="54"/>
    <x v="54"/>
    <x v="43"/>
    <x v="43"/>
    <x v="43"/>
    <x v="11"/>
    <x v="331"/>
    <x v="104"/>
    <x v="68"/>
    <x v="411"/>
    <x v="320"/>
    <x v="340"/>
    <x v="2"/>
  </r>
  <r>
    <x v="0"/>
    <x v="54"/>
    <x v="54"/>
    <x v="86"/>
    <x v="86"/>
    <x v="86"/>
    <x v="11"/>
    <x v="331"/>
    <x v="104"/>
    <x v="56"/>
    <x v="52"/>
    <x v="288"/>
    <x v="399"/>
    <x v="2"/>
  </r>
  <r>
    <x v="0"/>
    <x v="54"/>
    <x v="54"/>
    <x v="7"/>
    <x v="7"/>
    <x v="7"/>
    <x v="11"/>
    <x v="331"/>
    <x v="104"/>
    <x v="68"/>
    <x v="411"/>
    <x v="320"/>
    <x v="340"/>
    <x v="2"/>
  </r>
  <r>
    <x v="0"/>
    <x v="54"/>
    <x v="54"/>
    <x v="0"/>
    <x v="0"/>
    <x v="0"/>
    <x v="11"/>
    <x v="331"/>
    <x v="104"/>
    <x v="57"/>
    <x v="168"/>
    <x v="295"/>
    <x v="400"/>
    <x v="2"/>
  </r>
  <r>
    <x v="0"/>
    <x v="54"/>
    <x v="54"/>
    <x v="87"/>
    <x v="87"/>
    <x v="87"/>
    <x v="11"/>
    <x v="331"/>
    <x v="104"/>
    <x v="68"/>
    <x v="411"/>
    <x v="320"/>
    <x v="340"/>
    <x v="2"/>
  </r>
  <r>
    <x v="0"/>
    <x v="54"/>
    <x v="54"/>
    <x v="1"/>
    <x v="1"/>
    <x v="1"/>
    <x v="11"/>
    <x v="331"/>
    <x v="104"/>
    <x v="68"/>
    <x v="411"/>
    <x v="320"/>
    <x v="340"/>
    <x v="2"/>
  </r>
  <r>
    <x v="0"/>
    <x v="54"/>
    <x v="54"/>
    <x v="88"/>
    <x v="88"/>
    <x v="88"/>
    <x v="11"/>
    <x v="331"/>
    <x v="104"/>
    <x v="57"/>
    <x v="168"/>
    <x v="295"/>
    <x v="400"/>
    <x v="2"/>
  </r>
  <r>
    <x v="0"/>
    <x v="54"/>
    <x v="54"/>
    <x v="3"/>
    <x v="3"/>
    <x v="3"/>
    <x v="11"/>
    <x v="331"/>
    <x v="104"/>
    <x v="68"/>
    <x v="411"/>
    <x v="320"/>
    <x v="340"/>
    <x v="2"/>
  </r>
  <r>
    <x v="0"/>
    <x v="54"/>
    <x v="54"/>
    <x v="34"/>
    <x v="34"/>
    <x v="34"/>
    <x v="11"/>
    <x v="331"/>
    <x v="104"/>
    <x v="68"/>
    <x v="411"/>
    <x v="320"/>
    <x v="340"/>
    <x v="2"/>
  </r>
  <r>
    <x v="0"/>
    <x v="54"/>
    <x v="54"/>
    <x v="2"/>
    <x v="2"/>
    <x v="2"/>
    <x v="11"/>
    <x v="331"/>
    <x v="104"/>
    <x v="68"/>
    <x v="411"/>
    <x v="320"/>
    <x v="340"/>
    <x v="2"/>
  </r>
  <r>
    <x v="0"/>
    <x v="54"/>
    <x v="54"/>
    <x v="8"/>
    <x v="8"/>
    <x v="8"/>
    <x v="11"/>
    <x v="331"/>
    <x v="104"/>
    <x v="68"/>
    <x v="411"/>
    <x v="320"/>
    <x v="340"/>
    <x v="2"/>
  </r>
  <r>
    <x v="0"/>
    <x v="54"/>
    <x v="54"/>
    <x v="15"/>
    <x v="15"/>
    <x v="15"/>
    <x v="11"/>
    <x v="331"/>
    <x v="104"/>
    <x v="57"/>
    <x v="168"/>
    <x v="295"/>
    <x v="400"/>
    <x v="2"/>
  </r>
  <r>
    <x v="0"/>
    <x v="55"/>
    <x v="55"/>
    <x v="66"/>
    <x v="66"/>
    <x v="66"/>
    <x v="0"/>
    <x v="327"/>
    <x v="275"/>
    <x v="70"/>
    <x v="539"/>
    <x v="288"/>
    <x v="277"/>
    <x v="2"/>
  </r>
  <r>
    <x v="0"/>
    <x v="55"/>
    <x v="55"/>
    <x v="64"/>
    <x v="64"/>
    <x v="64"/>
    <x v="1"/>
    <x v="416"/>
    <x v="331"/>
    <x v="68"/>
    <x v="411"/>
    <x v="234"/>
    <x v="401"/>
    <x v="2"/>
  </r>
  <r>
    <x v="0"/>
    <x v="55"/>
    <x v="55"/>
    <x v="16"/>
    <x v="16"/>
    <x v="16"/>
    <x v="2"/>
    <x v="413"/>
    <x v="332"/>
    <x v="54"/>
    <x v="538"/>
    <x v="295"/>
    <x v="131"/>
    <x v="2"/>
  </r>
  <r>
    <x v="0"/>
    <x v="55"/>
    <x v="55"/>
    <x v="54"/>
    <x v="54"/>
    <x v="54"/>
    <x v="3"/>
    <x v="414"/>
    <x v="333"/>
    <x v="47"/>
    <x v="492"/>
    <x v="295"/>
    <x v="131"/>
    <x v="2"/>
  </r>
  <r>
    <x v="0"/>
    <x v="55"/>
    <x v="55"/>
    <x v="3"/>
    <x v="3"/>
    <x v="3"/>
    <x v="3"/>
    <x v="414"/>
    <x v="333"/>
    <x v="47"/>
    <x v="492"/>
    <x v="295"/>
    <x v="131"/>
    <x v="2"/>
  </r>
  <r>
    <x v="0"/>
    <x v="55"/>
    <x v="55"/>
    <x v="81"/>
    <x v="81"/>
    <x v="81"/>
    <x v="5"/>
    <x v="329"/>
    <x v="70"/>
    <x v="57"/>
    <x v="168"/>
    <x v="293"/>
    <x v="278"/>
    <x v="2"/>
  </r>
  <r>
    <x v="0"/>
    <x v="55"/>
    <x v="55"/>
    <x v="87"/>
    <x v="87"/>
    <x v="87"/>
    <x v="5"/>
    <x v="329"/>
    <x v="70"/>
    <x v="45"/>
    <x v="256"/>
    <x v="295"/>
    <x v="131"/>
    <x v="2"/>
  </r>
  <r>
    <x v="0"/>
    <x v="55"/>
    <x v="55"/>
    <x v="1"/>
    <x v="1"/>
    <x v="1"/>
    <x v="5"/>
    <x v="329"/>
    <x v="70"/>
    <x v="47"/>
    <x v="492"/>
    <x v="320"/>
    <x v="340"/>
    <x v="2"/>
  </r>
  <r>
    <x v="0"/>
    <x v="55"/>
    <x v="55"/>
    <x v="34"/>
    <x v="34"/>
    <x v="34"/>
    <x v="5"/>
    <x v="329"/>
    <x v="70"/>
    <x v="47"/>
    <x v="492"/>
    <x v="320"/>
    <x v="340"/>
    <x v="2"/>
  </r>
  <r>
    <x v="0"/>
    <x v="55"/>
    <x v="55"/>
    <x v="48"/>
    <x v="48"/>
    <x v="48"/>
    <x v="9"/>
    <x v="330"/>
    <x v="202"/>
    <x v="53"/>
    <x v="259"/>
    <x v="320"/>
    <x v="340"/>
    <x v="2"/>
  </r>
  <r>
    <x v="0"/>
    <x v="55"/>
    <x v="55"/>
    <x v="80"/>
    <x v="80"/>
    <x v="80"/>
    <x v="9"/>
    <x v="330"/>
    <x v="202"/>
    <x v="68"/>
    <x v="411"/>
    <x v="295"/>
    <x v="131"/>
    <x v="2"/>
  </r>
  <r>
    <x v="0"/>
    <x v="55"/>
    <x v="55"/>
    <x v="11"/>
    <x v="11"/>
    <x v="11"/>
    <x v="9"/>
    <x v="330"/>
    <x v="202"/>
    <x v="53"/>
    <x v="259"/>
    <x v="320"/>
    <x v="340"/>
    <x v="2"/>
  </r>
  <r>
    <x v="0"/>
    <x v="55"/>
    <x v="55"/>
    <x v="89"/>
    <x v="89"/>
    <x v="89"/>
    <x v="12"/>
    <x v="331"/>
    <x v="31"/>
    <x v="68"/>
    <x v="411"/>
    <x v="320"/>
    <x v="340"/>
    <x v="2"/>
  </r>
  <r>
    <x v="0"/>
    <x v="55"/>
    <x v="55"/>
    <x v="42"/>
    <x v="42"/>
    <x v="42"/>
    <x v="12"/>
    <x v="331"/>
    <x v="31"/>
    <x v="57"/>
    <x v="168"/>
    <x v="295"/>
    <x v="131"/>
    <x v="2"/>
  </r>
  <r>
    <x v="0"/>
    <x v="55"/>
    <x v="55"/>
    <x v="90"/>
    <x v="90"/>
    <x v="90"/>
    <x v="12"/>
    <x v="331"/>
    <x v="31"/>
    <x v="56"/>
    <x v="52"/>
    <x v="288"/>
    <x v="277"/>
    <x v="2"/>
  </r>
  <r>
    <x v="0"/>
    <x v="55"/>
    <x v="55"/>
    <x v="7"/>
    <x v="7"/>
    <x v="7"/>
    <x v="12"/>
    <x v="331"/>
    <x v="31"/>
    <x v="57"/>
    <x v="168"/>
    <x v="295"/>
    <x v="131"/>
    <x v="2"/>
  </r>
  <r>
    <x v="0"/>
    <x v="55"/>
    <x v="55"/>
    <x v="5"/>
    <x v="5"/>
    <x v="5"/>
    <x v="12"/>
    <x v="331"/>
    <x v="31"/>
    <x v="56"/>
    <x v="52"/>
    <x v="288"/>
    <x v="277"/>
    <x v="2"/>
  </r>
  <r>
    <x v="0"/>
    <x v="55"/>
    <x v="55"/>
    <x v="14"/>
    <x v="14"/>
    <x v="14"/>
    <x v="12"/>
    <x v="331"/>
    <x v="31"/>
    <x v="57"/>
    <x v="168"/>
    <x v="295"/>
    <x v="131"/>
    <x v="2"/>
  </r>
  <r>
    <x v="0"/>
    <x v="55"/>
    <x v="55"/>
    <x v="88"/>
    <x v="88"/>
    <x v="88"/>
    <x v="12"/>
    <x v="331"/>
    <x v="31"/>
    <x v="57"/>
    <x v="168"/>
    <x v="295"/>
    <x v="131"/>
    <x v="2"/>
  </r>
  <r>
    <x v="0"/>
    <x v="55"/>
    <x v="55"/>
    <x v="40"/>
    <x v="40"/>
    <x v="40"/>
    <x v="12"/>
    <x v="331"/>
    <x v="31"/>
    <x v="68"/>
    <x v="411"/>
    <x v="320"/>
    <x v="340"/>
    <x v="2"/>
  </r>
  <r>
    <x v="0"/>
    <x v="55"/>
    <x v="55"/>
    <x v="91"/>
    <x v="91"/>
    <x v="91"/>
    <x v="12"/>
    <x v="331"/>
    <x v="31"/>
    <x v="56"/>
    <x v="52"/>
    <x v="288"/>
    <x v="277"/>
    <x v="2"/>
  </r>
  <r>
    <x v="0"/>
    <x v="55"/>
    <x v="55"/>
    <x v="92"/>
    <x v="92"/>
    <x v="92"/>
    <x v="12"/>
    <x v="331"/>
    <x v="31"/>
    <x v="56"/>
    <x v="52"/>
    <x v="295"/>
    <x v="131"/>
    <x v="2"/>
  </r>
  <r>
    <x v="0"/>
    <x v="56"/>
    <x v="56"/>
    <x v="80"/>
    <x v="80"/>
    <x v="80"/>
    <x v="0"/>
    <x v="363"/>
    <x v="334"/>
    <x v="125"/>
    <x v="540"/>
    <x v="309"/>
    <x v="402"/>
    <x v="2"/>
  </r>
  <r>
    <x v="0"/>
    <x v="56"/>
    <x v="56"/>
    <x v="64"/>
    <x v="64"/>
    <x v="64"/>
    <x v="1"/>
    <x v="405"/>
    <x v="234"/>
    <x v="57"/>
    <x v="273"/>
    <x v="168"/>
    <x v="403"/>
    <x v="2"/>
  </r>
  <r>
    <x v="0"/>
    <x v="56"/>
    <x v="56"/>
    <x v="16"/>
    <x v="16"/>
    <x v="16"/>
    <x v="2"/>
    <x v="407"/>
    <x v="335"/>
    <x v="49"/>
    <x v="541"/>
    <x v="288"/>
    <x v="239"/>
    <x v="2"/>
  </r>
  <r>
    <x v="0"/>
    <x v="56"/>
    <x v="56"/>
    <x v="7"/>
    <x v="7"/>
    <x v="7"/>
    <x v="2"/>
    <x v="407"/>
    <x v="335"/>
    <x v="69"/>
    <x v="542"/>
    <x v="293"/>
    <x v="75"/>
    <x v="2"/>
  </r>
  <r>
    <x v="0"/>
    <x v="56"/>
    <x v="56"/>
    <x v="2"/>
    <x v="2"/>
    <x v="2"/>
    <x v="2"/>
    <x v="407"/>
    <x v="335"/>
    <x v="72"/>
    <x v="84"/>
    <x v="295"/>
    <x v="404"/>
    <x v="2"/>
  </r>
  <r>
    <x v="0"/>
    <x v="56"/>
    <x v="56"/>
    <x v="1"/>
    <x v="1"/>
    <x v="1"/>
    <x v="5"/>
    <x v="327"/>
    <x v="87"/>
    <x v="49"/>
    <x v="541"/>
    <x v="295"/>
    <x v="404"/>
    <x v="2"/>
  </r>
  <r>
    <x v="0"/>
    <x v="56"/>
    <x v="56"/>
    <x v="48"/>
    <x v="48"/>
    <x v="48"/>
    <x v="6"/>
    <x v="412"/>
    <x v="5"/>
    <x v="54"/>
    <x v="293"/>
    <x v="294"/>
    <x v="123"/>
    <x v="2"/>
  </r>
  <r>
    <x v="0"/>
    <x v="56"/>
    <x v="56"/>
    <x v="54"/>
    <x v="54"/>
    <x v="54"/>
    <x v="6"/>
    <x v="412"/>
    <x v="5"/>
    <x v="69"/>
    <x v="542"/>
    <x v="295"/>
    <x v="404"/>
    <x v="2"/>
  </r>
  <r>
    <x v="0"/>
    <x v="56"/>
    <x v="56"/>
    <x v="66"/>
    <x v="66"/>
    <x v="66"/>
    <x v="8"/>
    <x v="416"/>
    <x v="192"/>
    <x v="51"/>
    <x v="543"/>
    <x v="295"/>
    <x v="404"/>
    <x v="2"/>
  </r>
  <r>
    <x v="0"/>
    <x v="56"/>
    <x v="56"/>
    <x v="83"/>
    <x v="83"/>
    <x v="83"/>
    <x v="8"/>
    <x v="416"/>
    <x v="192"/>
    <x v="51"/>
    <x v="543"/>
    <x v="295"/>
    <x v="404"/>
    <x v="2"/>
  </r>
  <r>
    <x v="0"/>
    <x v="56"/>
    <x v="56"/>
    <x v="81"/>
    <x v="81"/>
    <x v="81"/>
    <x v="8"/>
    <x v="416"/>
    <x v="192"/>
    <x v="57"/>
    <x v="273"/>
    <x v="115"/>
    <x v="127"/>
    <x v="2"/>
  </r>
  <r>
    <x v="0"/>
    <x v="56"/>
    <x v="56"/>
    <x v="91"/>
    <x v="91"/>
    <x v="91"/>
    <x v="8"/>
    <x v="416"/>
    <x v="192"/>
    <x v="54"/>
    <x v="293"/>
    <x v="288"/>
    <x v="239"/>
    <x v="2"/>
  </r>
  <r>
    <x v="0"/>
    <x v="56"/>
    <x v="56"/>
    <x v="93"/>
    <x v="93"/>
    <x v="93"/>
    <x v="12"/>
    <x v="413"/>
    <x v="9"/>
    <x v="45"/>
    <x v="248"/>
    <x v="294"/>
    <x v="123"/>
    <x v="2"/>
  </r>
  <r>
    <x v="0"/>
    <x v="56"/>
    <x v="56"/>
    <x v="77"/>
    <x v="77"/>
    <x v="77"/>
    <x v="12"/>
    <x v="413"/>
    <x v="9"/>
    <x v="47"/>
    <x v="301"/>
    <x v="288"/>
    <x v="239"/>
    <x v="2"/>
  </r>
  <r>
    <x v="0"/>
    <x v="56"/>
    <x v="56"/>
    <x v="94"/>
    <x v="94"/>
    <x v="94"/>
    <x v="12"/>
    <x v="413"/>
    <x v="9"/>
    <x v="47"/>
    <x v="301"/>
    <x v="288"/>
    <x v="239"/>
    <x v="2"/>
  </r>
  <r>
    <x v="0"/>
    <x v="56"/>
    <x v="56"/>
    <x v="10"/>
    <x v="10"/>
    <x v="10"/>
    <x v="12"/>
    <x v="413"/>
    <x v="9"/>
    <x v="47"/>
    <x v="301"/>
    <x v="288"/>
    <x v="239"/>
    <x v="2"/>
  </r>
  <r>
    <x v="0"/>
    <x v="56"/>
    <x v="56"/>
    <x v="34"/>
    <x v="34"/>
    <x v="34"/>
    <x v="12"/>
    <x v="413"/>
    <x v="9"/>
    <x v="51"/>
    <x v="543"/>
    <x v="320"/>
    <x v="340"/>
    <x v="2"/>
  </r>
  <r>
    <x v="0"/>
    <x v="56"/>
    <x v="56"/>
    <x v="49"/>
    <x v="49"/>
    <x v="49"/>
    <x v="17"/>
    <x v="414"/>
    <x v="79"/>
    <x v="53"/>
    <x v="436"/>
    <x v="294"/>
    <x v="123"/>
    <x v="2"/>
  </r>
  <r>
    <x v="0"/>
    <x v="56"/>
    <x v="56"/>
    <x v="36"/>
    <x v="36"/>
    <x v="36"/>
    <x v="17"/>
    <x v="414"/>
    <x v="79"/>
    <x v="57"/>
    <x v="273"/>
    <x v="150"/>
    <x v="366"/>
    <x v="2"/>
  </r>
  <r>
    <x v="0"/>
    <x v="56"/>
    <x v="56"/>
    <x v="82"/>
    <x v="82"/>
    <x v="82"/>
    <x v="17"/>
    <x v="414"/>
    <x v="79"/>
    <x v="47"/>
    <x v="301"/>
    <x v="295"/>
    <x v="404"/>
    <x v="2"/>
  </r>
  <r>
    <x v="0"/>
    <x v="56"/>
    <x v="56"/>
    <x v="8"/>
    <x v="8"/>
    <x v="8"/>
    <x v="17"/>
    <x v="414"/>
    <x v="79"/>
    <x v="47"/>
    <x v="301"/>
    <x v="295"/>
    <x v="404"/>
    <x v="2"/>
  </r>
  <r>
    <x v="0"/>
    <x v="57"/>
    <x v="57"/>
    <x v="80"/>
    <x v="80"/>
    <x v="80"/>
    <x v="0"/>
    <x v="414"/>
    <x v="336"/>
    <x v="54"/>
    <x v="544"/>
    <x v="320"/>
    <x v="340"/>
    <x v="2"/>
  </r>
  <r>
    <x v="0"/>
    <x v="57"/>
    <x v="57"/>
    <x v="16"/>
    <x v="16"/>
    <x v="16"/>
    <x v="1"/>
    <x v="330"/>
    <x v="337"/>
    <x v="53"/>
    <x v="545"/>
    <x v="320"/>
    <x v="340"/>
    <x v="2"/>
  </r>
  <r>
    <x v="0"/>
    <x v="57"/>
    <x v="57"/>
    <x v="64"/>
    <x v="64"/>
    <x v="64"/>
    <x v="2"/>
    <x v="331"/>
    <x v="338"/>
    <x v="57"/>
    <x v="444"/>
    <x v="295"/>
    <x v="405"/>
    <x v="2"/>
  </r>
  <r>
    <x v="0"/>
    <x v="57"/>
    <x v="57"/>
    <x v="54"/>
    <x v="54"/>
    <x v="54"/>
    <x v="2"/>
    <x v="331"/>
    <x v="338"/>
    <x v="68"/>
    <x v="546"/>
    <x v="320"/>
    <x v="340"/>
    <x v="2"/>
  </r>
  <r>
    <x v="0"/>
    <x v="57"/>
    <x v="57"/>
    <x v="36"/>
    <x v="36"/>
    <x v="36"/>
    <x v="4"/>
    <x v="417"/>
    <x v="339"/>
    <x v="57"/>
    <x v="444"/>
    <x v="320"/>
    <x v="340"/>
    <x v="2"/>
  </r>
  <r>
    <x v="0"/>
    <x v="57"/>
    <x v="57"/>
    <x v="95"/>
    <x v="95"/>
    <x v="95"/>
    <x v="4"/>
    <x v="417"/>
    <x v="339"/>
    <x v="56"/>
    <x v="52"/>
    <x v="295"/>
    <x v="405"/>
    <x v="2"/>
  </r>
  <r>
    <x v="0"/>
    <x v="57"/>
    <x v="57"/>
    <x v="96"/>
    <x v="96"/>
    <x v="96"/>
    <x v="4"/>
    <x v="417"/>
    <x v="339"/>
    <x v="56"/>
    <x v="52"/>
    <x v="320"/>
    <x v="340"/>
    <x v="2"/>
  </r>
  <r>
    <x v="0"/>
    <x v="57"/>
    <x v="57"/>
    <x v="97"/>
    <x v="97"/>
    <x v="97"/>
    <x v="4"/>
    <x v="417"/>
    <x v="339"/>
    <x v="56"/>
    <x v="52"/>
    <x v="295"/>
    <x v="405"/>
    <x v="2"/>
  </r>
  <r>
    <x v="0"/>
    <x v="57"/>
    <x v="57"/>
    <x v="63"/>
    <x v="63"/>
    <x v="63"/>
    <x v="4"/>
    <x v="417"/>
    <x v="339"/>
    <x v="57"/>
    <x v="444"/>
    <x v="320"/>
    <x v="340"/>
    <x v="2"/>
  </r>
  <r>
    <x v="0"/>
    <x v="57"/>
    <x v="57"/>
    <x v="11"/>
    <x v="11"/>
    <x v="11"/>
    <x v="4"/>
    <x v="417"/>
    <x v="339"/>
    <x v="57"/>
    <x v="444"/>
    <x v="320"/>
    <x v="340"/>
    <x v="2"/>
  </r>
  <r>
    <x v="0"/>
    <x v="57"/>
    <x v="57"/>
    <x v="98"/>
    <x v="98"/>
    <x v="98"/>
    <x v="4"/>
    <x v="417"/>
    <x v="339"/>
    <x v="56"/>
    <x v="52"/>
    <x v="295"/>
    <x v="405"/>
    <x v="2"/>
  </r>
  <r>
    <x v="0"/>
    <x v="57"/>
    <x v="57"/>
    <x v="99"/>
    <x v="99"/>
    <x v="99"/>
    <x v="4"/>
    <x v="417"/>
    <x v="339"/>
    <x v="56"/>
    <x v="52"/>
    <x v="320"/>
    <x v="340"/>
    <x v="2"/>
  </r>
  <r>
    <x v="0"/>
    <x v="58"/>
    <x v="58"/>
    <x v="80"/>
    <x v="80"/>
    <x v="80"/>
    <x v="0"/>
    <x v="344"/>
    <x v="340"/>
    <x v="258"/>
    <x v="547"/>
    <x v="295"/>
    <x v="406"/>
    <x v="2"/>
  </r>
  <r>
    <x v="0"/>
    <x v="58"/>
    <x v="58"/>
    <x v="82"/>
    <x v="82"/>
    <x v="82"/>
    <x v="1"/>
    <x v="413"/>
    <x v="341"/>
    <x v="51"/>
    <x v="338"/>
    <x v="320"/>
    <x v="340"/>
    <x v="2"/>
  </r>
  <r>
    <x v="0"/>
    <x v="58"/>
    <x v="58"/>
    <x v="70"/>
    <x v="70"/>
    <x v="70"/>
    <x v="2"/>
    <x v="415"/>
    <x v="101"/>
    <x v="45"/>
    <x v="380"/>
    <x v="320"/>
    <x v="340"/>
    <x v="2"/>
  </r>
  <r>
    <x v="0"/>
    <x v="58"/>
    <x v="58"/>
    <x v="100"/>
    <x v="100"/>
    <x v="100"/>
    <x v="2"/>
    <x v="415"/>
    <x v="101"/>
    <x v="45"/>
    <x v="380"/>
    <x v="320"/>
    <x v="340"/>
    <x v="2"/>
  </r>
  <r>
    <x v="0"/>
    <x v="58"/>
    <x v="58"/>
    <x v="7"/>
    <x v="7"/>
    <x v="7"/>
    <x v="2"/>
    <x v="415"/>
    <x v="101"/>
    <x v="53"/>
    <x v="399"/>
    <x v="295"/>
    <x v="406"/>
    <x v="2"/>
  </r>
  <r>
    <x v="0"/>
    <x v="58"/>
    <x v="58"/>
    <x v="10"/>
    <x v="10"/>
    <x v="10"/>
    <x v="2"/>
    <x v="415"/>
    <x v="101"/>
    <x v="45"/>
    <x v="380"/>
    <x v="320"/>
    <x v="340"/>
    <x v="2"/>
  </r>
  <r>
    <x v="0"/>
    <x v="58"/>
    <x v="58"/>
    <x v="36"/>
    <x v="36"/>
    <x v="36"/>
    <x v="6"/>
    <x v="330"/>
    <x v="27"/>
    <x v="68"/>
    <x v="204"/>
    <x v="295"/>
    <x v="406"/>
    <x v="2"/>
  </r>
  <r>
    <x v="0"/>
    <x v="58"/>
    <x v="58"/>
    <x v="43"/>
    <x v="43"/>
    <x v="43"/>
    <x v="6"/>
    <x v="330"/>
    <x v="27"/>
    <x v="68"/>
    <x v="204"/>
    <x v="295"/>
    <x v="406"/>
    <x v="2"/>
  </r>
  <r>
    <x v="0"/>
    <x v="58"/>
    <x v="58"/>
    <x v="93"/>
    <x v="93"/>
    <x v="93"/>
    <x v="6"/>
    <x v="330"/>
    <x v="27"/>
    <x v="68"/>
    <x v="204"/>
    <x v="295"/>
    <x v="406"/>
    <x v="2"/>
  </r>
  <r>
    <x v="0"/>
    <x v="58"/>
    <x v="58"/>
    <x v="48"/>
    <x v="48"/>
    <x v="48"/>
    <x v="6"/>
    <x v="330"/>
    <x v="27"/>
    <x v="53"/>
    <x v="399"/>
    <x v="320"/>
    <x v="340"/>
    <x v="2"/>
  </r>
  <r>
    <x v="0"/>
    <x v="58"/>
    <x v="58"/>
    <x v="63"/>
    <x v="63"/>
    <x v="63"/>
    <x v="6"/>
    <x v="330"/>
    <x v="27"/>
    <x v="53"/>
    <x v="399"/>
    <x v="320"/>
    <x v="340"/>
    <x v="2"/>
  </r>
  <r>
    <x v="0"/>
    <x v="58"/>
    <x v="58"/>
    <x v="81"/>
    <x v="81"/>
    <x v="81"/>
    <x v="6"/>
    <x v="330"/>
    <x v="27"/>
    <x v="68"/>
    <x v="204"/>
    <x v="295"/>
    <x v="406"/>
    <x v="2"/>
  </r>
  <r>
    <x v="0"/>
    <x v="58"/>
    <x v="58"/>
    <x v="1"/>
    <x v="1"/>
    <x v="1"/>
    <x v="6"/>
    <x v="330"/>
    <x v="27"/>
    <x v="53"/>
    <x v="399"/>
    <x v="320"/>
    <x v="340"/>
    <x v="2"/>
  </r>
  <r>
    <x v="0"/>
    <x v="58"/>
    <x v="58"/>
    <x v="3"/>
    <x v="3"/>
    <x v="3"/>
    <x v="6"/>
    <x v="330"/>
    <x v="27"/>
    <x v="53"/>
    <x v="399"/>
    <x v="320"/>
    <x v="340"/>
    <x v="2"/>
  </r>
  <r>
    <x v="0"/>
    <x v="58"/>
    <x v="58"/>
    <x v="91"/>
    <x v="91"/>
    <x v="91"/>
    <x v="6"/>
    <x v="330"/>
    <x v="27"/>
    <x v="53"/>
    <x v="399"/>
    <x v="320"/>
    <x v="340"/>
    <x v="2"/>
  </r>
  <r>
    <x v="0"/>
    <x v="58"/>
    <x v="58"/>
    <x v="101"/>
    <x v="101"/>
    <x v="101"/>
    <x v="15"/>
    <x v="331"/>
    <x v="116"/>
    <x v="56"/>
    <x v="52"/>
    <x v="288"/>
    <x v="407"/>
    <x v="2"/>
  </r>
  <r>
    <x v="0"/>
    <x v="58"/>
    <x v="58"/>
    <x v="102"/>
    <x v="102"/>
    <x v="102"/>
    <x v="15"/>
    <x v="331"/>
    <x v="116"/>
    <x v="56"/>
    <x v="52"/>
    <x v="288"/>
    <x v="407"/>
    <x v="2"/>
  </r>
  <r>
    <x v="0"/>
    <x v="58"/>
    <x v="58"/>
    <x v="42"/>
    <x v="42"/>
    <x v="42"/>
    <x v="15"/>
    <x v="331"/>
    <x v="116"/>
    <x v="68"/>
    <x v="204"/>
    <x v="320"/>
    <x v="340"/>
    <x v="2"/>
  </r>
  <r>
    <x v="0"/>
    <x v="58"/>
    <x v="58"/>
    <x v="83"/>
    <x v="83"/>
    <x v="83"/>
    <x v="15"/>
    <x v="331"/>
    <x v="116"/>
    <x v="68"/>
    <x v="204"/>
    <x v="320"/>
    <x v="340"/>
    <x v="2"/>
  </r>
  <r>
    <x v="0"/>
    <x v="58"/>
    <x v="58"/>
    <x v="16"/>
    <x v="16"/>
    <x v="16"/>
    <x v="15"/>
    <x v="331"/>
    <x v="116"/>
    <x v="68"/>
    <x v="204"/>
    <x v="320"/>
    <x v="340"/>
    <x v="2"/>
  </r>
  <r>
    <x v="0"/>
    <x v="58"/>
    <x v="58"/>
    <x v="103"/>
    <x v="103"/>
    <x v="103"/>
    <x v="15"/>
    <x v="331"/>
    <x v="116"/>
    <x v="57"/>
    <x v="121"/>
    <x v="295"/>
    <x v="406"/>
    <x v="2"/>
  </r>
  <r>
    <x v="0"/>
    <x v="58"/>
    <x v="58"/>
    <x v="62"/>
    <x v="62"/>
    <x v="62"/>
    <x v="15"/>
    <x v="331"/>
    <x v="116"/>
    <x v="68"/>
    <x v="204"/>
    <x v="320"/>
    <x v="340"/>
    <x v="2"/>
  </r>
  <r>
    <x v="0"/>
    <x v="58"/>
    <x v="58"/>
    <x v="11"/>
    <x v="11"/>
    <x v="11"/>
    <x v="15"/>
    <x v="331"/>
    <x v="116"/>
    <x v="68"/>
    <x v="204"/>
    <x v="320"/>
    <x v="340"/>
    <x v="2"/>
  </r>
  <r>
    <x v="0"/>
    <x v="58"/>
    <x v="58"/>
    <x v="2"/>
    <x v="2"/>
    <x v="2"/>
    <x v="15"/>
    <x v="331"/>
    <x v="116"/>
    <x v="68"/>
    <x v="204"/>
    <x v="320"/>
    <x v="340"/>
    <x v="2"/>
  </r>
  <r>
    <x v="0"/>
    <x v="58"/>
    <x v="58"/>
    <x v="92"/>
    <x v="92"/>
    <x v="92"/>
    <x v="15"/>
    <x v="331"/>
    <x v="116"/>
    <x v="56"/>
    <x v="52"/>
    <x v="320"/>
    <x v="340"/>
    <x v="2"/>
  </r>
  <r>
    <x v="0"/>
    <x v="59"/>
    <x v="59"/>
    <x v="80"/>
    <x v="80"/>
    <x v="80"/>
    <x v="0"/>
    <x v="388"/>
    <x v="342"/>
    <x v="125"/>
    <x v="548"/>
    <x v="288"/>
    <x v="408"/>
    <x v="2"/>
  </r>
  <r>
    <x v="0"/>
    <x v="59"/>
    <x v="59"/>
    <x v="82"/>
    <x v="82"/>
    <x v="82"/>
    <x v="1"/>
    <x v="413"/>
    <x v="343"/>
    <x v="54"/>
    <x v="292"/>
    <x v="295"/>
    <x v="409"/>
    <x v="2"/>
  </r>
  <r>
    <x v="0"/>
    <x v="59"/>
    <x v="59"/>
    <x v="10"/>
    <x v="10"/>
    <x v="10"/>
    <x v="2"/>
    <x v="329"/>
    <x v="321"/>
    <x v="47"/>
    <x v="549"/>
    <x v="320"/>
    <x v="340"/>
    <x v="2"/>
  </r>
  <r>
    <x v="0"/>
    <x v="59"/>
    <x v="59"/>
    <x v="91"/>
    <x v="91"/>
    <x v="91"/>
    <x v="2"/>
    <x v="329"/>
    <x v="321"/>
    <x v="47"/>
    <x v="549"/>
    <x v="320"/>
    <x v="340"/>
    <x v="2"/>
  </r>
  <r>
    <x v="0"/>
    <x v="59"/>
    <x v="59"/>
    <x v="66"/>
    <x v="66"/>
    <x v="66"/>
    <x v="4"/>
    <x v="415"/>
    <x v="179"/>
    <x v="45"/>
    <x v="310"/>
    <x v="320"/>
    <x v="340"/>
    <x v="2"/>
  </r>
  <r>
    <x v="0"/>
    <x v="59"/>
    <x v="59"/>
    <x v="7"/>
    <x v="7"/>
    <x v="7"/>
    <x v="4"/>
    <x v="415"/>
    <x v="179"/>
    <x v="53"/>
    <x v="550"/>
    <x v="295"/>
    <x v="409"/>
    <x v="2"/>
  </r>
  <r>
    <x v="0"/>
    <x v="59"/>
    <x v="59"/>
    <x v="2"/>
    <x v="2"/>
    <x v="2"/>
    <x v="4"/>
    <x v="415"/>
    <x v="179"/>
    <x v="45"/>
    <x v="310"/>
    <x v="320"/>
    <x v="340"/>
    <x v="2"/>
  </r>
  <r>
    <x v="0"/>
    <x v="59"/>
    <x v="59"/>
    <x v="36"/>
    <x v="36"/>
    <x v="36"/>
    <x v="7"/>
    <x v="330"/>
    <x v="238"/>
    <x v="57"/>
    <x v="115"/>
    <x v="288"/>
    <x v="408"/>
    <x v="2"/>
  </r>
  <r>
    <x v="0"/>
    <x v="59"/>
    <x v="59"/>
    <x v="104"/>
    <x v="104"/>
    <x v="104"/>
    <x v="7"/>
    <x v="330"/>
    <x v="238"/>
    <x v="68"/>
    <x v="438"/>
    <x v="295"/>
    <x v="409"/>
    <x v="2"/>
  </r>
  <r>
    <x v="0"/>
    <x v="59"/>
    <x v="59"/>
    <x v="1"/>
    <x v="1"/>
    <x v="1"/>
    <x v="7"/>
    <x v="330"/>
    <x v="238"/>
    <x v="53"/>
    <x v="550"/>
    <x v="320"/>
    <x v="340"/>
    <x v="2"/>
  </r>
  <r>
    <x v="0"/>
    <x v="59"/>
    <x v="59"/>
    <x v="105"/>
    <x v="105"/>
    <x v="105"/>
    <x v="10"/>
    <x v="331"/>
    <x v="95"/>
    <x v="68"/>
    <x v="438"/>
    <x v="320"/>
    <x v="340"/>
    <x v="2"/>
  </r>
  <r>
    <x v="0"/>
    <x v="59"/>
    <x v="59"/>
    <x v="43"/>
    <x v="43"/>
    <x v="43"/>
    <x v="10"/>
    <x v="331"/>
    <x v="95"/>
    <x v="57"/>
    <x v="115"/>
    <x v="295"/>
    <x v="409"/>
    <x v="2"/>
  </r>
  <r>
    <x v="0"/>
    <x v="59"/>
    <x v="59"/>
    <x v="106"/>
    <x v="106"/>
    <x v="106"/>
    <x v="10"/>
    <x v="331"/>
    <x v="95"/>
    <x v="68"/>
    <x v="438"/>
    <x v="320"/>
    <x v="340"/>
    <x v="2"/>
  </r>
  <r>
    <x v="0"/>
    <x v="59"/>
    <x v="59"/>
    <x v="93"/>
    <x v="93"/>
    <x v="93"/>
    <x v="10"/>
    <x v="331"/>
    <x v="95"/>
    <x v="68"/>
    <x v="438"/>
    <x v="320"/>
    <x v="340"/>
    <x v="2"/>
  </r>
  <r>
    <x v="0"/>
    <x v="59"/>
    <x v="59"/>
    <x v="48"/>
    <x v="48"/>
    <x v="48"/>
    <x v="10"/>
    <x v="331"/>
    <x v="95"/>
    <x v="68"/>
    <x v="438"/>
    <x v="320"/>
    <x v="340"/>
    <x v="2"/>
  </r>
  <r>
    <x v="0"/>
    <x v="59"/>
    <x v="59"/>
    <x v="16"/>
    <x v="16"/>
    <x v="16"/>
    <x v="10"/>
    <x v="331"/>
    <x v="95"/>
    <x v="68"/>
    <x v="438"/>
    <x v="320"/>
    <x v="340"/>
    <x v="2"/>
  </r>
  <r>
    <x v="0"/>
    <x v="59"/>
    <x v="59"/>
    <x v="54"/>
    <x v="54"/>
    <x v="54"/>
    <x v="10"/>
    <x v="331"/>
    <x v="95"/>
    <x v="68"/>
    <x v="438"/>
    <x v="320"/>
    <x v="340"/>
    <x v="2"/>
  </r>
  <r>
    <x v="0"/>
    <x v="59"/>
    <x v="59"/>
    <x v="62"/>
    <x v="62"/>
    <x v="62"/>
    <x v="10"/>
    <x v="331"/>
    <x v="95"/>
    <x v="68"/>
    <x v="438"/>
    <x v="320"/>
    <x v="340"/>
    <x v="2"/>
  </r>
  <r>
    <x v="0"/>
    <x v="59"/>
    <x v="59"/>
    <x v="3"/>
    <x v="3"/>
    <x v="3"/>
    <x v="10"/>
    <x v="331"/>
    <x v="95"/>
    <x v="68"/>
    <x v="438"/>
    <x v="320"/>
    <x v="340"/>
    <x v="2"/>
  </r>
  <r>
    <x v="0"/>
    <x v="59"/>
    <x v="59"/>
    <x v="11"/>
    <x v="11"/>
    <x v="11"/>
    <x v="10"/>
    <x v="331"/>
    <x v="95"/>
    <x v="68"/>
    <x v="438"/>
    <x v="320"/>
    <x v="340"/>
    <x v="2"/>
  </r>
  <r>
    <x v="0"/>
    <x v="59"/>
    <x v="59"/>
    <x v="92"/>
    <x v="92"/>
    <x v="92"/>
    <x v="10"/>
    <x v="331"/>
    <x v="95"/>
    <x v="56"/>
    <x v="52"/>
    <x v="320"/>
    <x v="340"/>
    <x v="2"/>
  </r>
  <r>
    <x v="0"/>
    <x v="59"/>
    <x v="59"/>
    <x v="8"/>
    <x v="8"/>
    <x v="8"/>
    <x v="10"/>
    <x v="331"/>
    <x v="95"/>
    <x v="68"/>
    <x v="438"/>
    <x v="320"/>
    <x v="340"/>
    <x v="2"/>
  </r>
  <r>
    <x v="0"/>
    <x v="59"/>
    <x v="59"/>
    <x v="98"/>
    <x v="98"/>
    <x v="98"/>
    <x v="10"/>
    <x v="331"/>
    <x v="95"/>
    <x v="56"/>
    <x v="52"/>
    <x v="320"/>
    <x v="340"/>
    <x v="2"/>
  </r>
  <r>
    <x v="0"/>
    <x v="60"/>
    <x v="60"/>
    <x v="80"/>
    <x v="80"/>
    <x v="80"/>
    <x v="0"/>
    <x v="391"/>
    <x v="344"/>
    <x v="152"/>
    <x v="551"/>
    <x v="320"/>
    <x v="340"/>
    <x v="2"/>
  </r>
  <r>
    <x v="0"/>
    <x v="60"/>
    <x v="60"/>
    <x v="91"/>
    <x v="91"/>
    <x v="91"/>
    <x v="1"/>
    <x v="325"/>
    <x v="345"/>
    <x v="94"/>
    <x v="552"/>
    <x v="288"/>
    <x v="410"/>
    <x v="2"/>
  </r>
  <r>
    <x v="0"/>
    <x v="60"/>
    <x v="60"/>
    <x v="1"/>
    <x v="1"/>
    <x v="1"/>
    <x v="2"/>
    <x v="412"/>
    <x v="346"/>
    <x v="70"/>
    <x v="553"/>
    <x v="320"/>
    <x v="340"/>
    <x v="2"/>
  </r>
  <r>
    <x v="0"/>
    <x v="60"/>
    <x v="60"/>
    <x v="16"/>
    <x v="16"/>
    <x v="16"/>
    <x v="3"/>
    <x v="416"/>
    <x v="131"/>
    <x v="54"/>
    <x v="554"/>
    <x v="288"/>
    <x v="410"/>
    <x v="2"/>
  </r>
  <r>
    <x v="0"/>
    <x v="60"/>
    <x v="60"/>
    <x v="3"/>
    <x v="3"/>
    <x v="3"/>
    <x v="4"/>
    <x v="413"/>
    <x v="274"/>
    <x v="51"/>
    <x v="555"/>
    <x v="320"/>
    <x v="340"/>
    <x v="2"/>
  </r>
  <r>
    <x v="0"/>
    <x v="60"/>
    <x v="60"/>
    <x v="2"/>
    <x v="2"/>
    <x v="2"/>
    <x v="4"/>
    <x v="413"/>
    <x v="274"/>
    <x v="51"/>
    <x v="555"/>
    <x v="320"/>
    <x v="340"/>
    <x v="2"/>
  </r>
  <r>
    <x v="0"/>
    <x v="60"/>
    <x v="60"/>
    <x v="82"/>
    <x v="82"/>
    <x v="82"/>
    <x v="6"/>
    <x v="414"/>
    <x v="197"/>
    <x v="45"/>
    <x v="152"/>
    <x v="288"/>
    <x v="410"/>
    <x v="2"/>
  </r>
  <r>
    <x v="0"/>
    <x v="60"/>
    <x v="60"/>
    <x v="10"/>
    <x v="10"/>
    <x v="10"/>
    <x v="6"/>
    <x v="414"/>
    <x v="197"/>
    <x v="54"/>
    <x v="554"/>
    <x v="320"/>
    <x v="340"/>
    <x v="2"/>
  </r>
  <r>
    <x v="0"/>
    <x v="60"/>
    <x v="60"/>
    <x v="36"/>
    <x v="36"/>
    <x v="36"/>
    <x v="8"/>
    <x v="329"/>
    <x v="157"/>
    <x v="68"/>
    <x v="345"/>
    <x v="294"/>
    <x v="411"/>
    <x v="2"/>
  </r>
  <r>
    <x v="0"/>
    <x v="60"/>
    <x v="60"/>
    <x v="50"/>
    <x v="50"/>
    <x v="50"/>
    <x v="9"/>
    <x v="415"/>
    <x v="347"/>
    <x v="68"/>
    <x v="345"/>
    <x v="288"/>
    <x v="410"/>
    <x v="2"/>
  </r>
  <r>
    <x v="0"/>
    <x v="60"/>
    <x v="60"/>
    <x v="7"/>
    <x v="7"/>
    <x v="7"/>
    <x v="9"/>
    <x v="415"/>
    <x v="347"/>
    <x v="68"/>
    <x v="345"/>
    <x v="288"/>
    <x v="410"/>
    <x v="2"/>
  </r>
  <r>
    <x v="0"/>
    <x v="60"/>
    <x v="60"/>
    <x v="0"/>
    <x v="0"/>
    <x v="0"/>
    <x v="9"/>
    <x v="415"/>
    <x v="347"/>
    <x v="45"/>
    <x v="152"/>
    <x v="320"/>
    <x v="340"/>
    <x v="2"/>
  </r>
  <r>
    <x v="0"/>
    <x v="60"/>
    <x v="60"/>
    <x v="11"/>
    <x v="11"/>
    <x v="11"/>
    <x v="9"/>
    <x v="415"/>
    <x v="347"/>
    <x v="45"/>
    <x v="152"/>
    <x v="320"/>
    <x v="340"/>
    <x v="2"/>
  </r>
  <r>
    <x v="0"/>
    <x v="60"/>
    <x v="60"/>
    <x v="49"/>
    <x v="49"/>
    <x v="49"/>
    <x v="13"/>
    <x v="330"/>
    <x v="137"/>
    <x v="56"/>
    <x v="52"/>
    <x v="294"/>
    <x v="411"/>
    <x v="2"/>
  </r>
  <r>
    <x v="0"/>
    <x v="60"/>
    <x v="60"/>
    <x v="70"/>
    <x v="70"/>
    <x v="70"/>
    <x v="13"/>
    <x v="330"/>
    <x v="137"/>
    <x v="53"/>
    <x v="228"/>
    <x v="320"/>
    <x v="340"/>
    <x v="2"/>
  </r>
  <r>
    <x v="0"/>
    <x v="60"/>
    <x v="60"/>
    <x v="77"/>
    <x v="77"/>
    <x v="77"/>
    <x v="13"/>
    <x v="330"/>
    <x v="137"/>
    <x v="57"/>
    <x v="243"/>
    <x v="288"/>
    <x v="410"/>
    <x v="2"/>
  </r>
  <r>
    <x v="0"/>
    <x v="60"/>
    <x v="60"/>
    <x v="81"/>
    <x v="81"/>
    <x v="81"/>
    <x v="13"/>
    <x v="330"/>
    <x v="137"/>
    <x v="56"/>
    <x v="52"/>
    <x v="294"/>
    <x v="411"/>
    <x v="2"/>
  </r>
  <r>
    <x v="0"/>
    <x v="60"/>
    <x v="60"/>
    <x v="64"/>
    <x v="64"/>
    <x v="64"/>
    <x v="17"/>
    <x v="331"/>
    <x v="214"/>
    <x v="56"/>
    <x v="52"/>
    <x v="288"/>
    <x v="410"/>
    <x v="2"/>
  </r>
  <r>
    <x v="0"/>
    <x v="60"/>
    <x v="60"/>
    <x v="66"/>
    <x v="66"/>
    <x v="66"/>
    <x v="17"/>
    <x v="331"/>
    <x v="214"/>
    <x v="57"/>
    <x v="243"/>
    <x v="295"/>
    <x v="28"/>
    <x v="2"/>
  </r>
  <r>
    <x v="0"/>
    <x v="60"/>
    <x v="60"/>
    <x v="45"/>
    <x v="45"/>
    <x v="45"/>
    <x v="17"/>
    <x v="331"/>
    <x v="214"/>
    <x v="68"/>
    <x v="345"/>
    <x v="320"/>
    <x v="340"/>
    <x v="2"/>
  </r>
  <r>
    <x v="0"/>
    <x v="60"/>
    <x v="60"/>
    <x v="105"/>
    <x v="105"/>
    <x v="105"/>
    <x v="17"/>
    <x v="331"/>
    <x v="214"/>
    <x v="68"/>
    <x v="345"/>
    <x v="320"/>
    <x v="340"/>
    <x v="2"/>
  </r>
  <r>
    <x v="0"/>
    <x v="60"/>
    <x v="60"/>
    <x v="43"/>
    <x v="43"/>
    <x v="43"/>
    <x v="17"/>
    <x v="331"/>
    <x v="214"/>
    <x v="68"/>
    <x v="345"/>
    <x v="320"/>
    <x v="340"/>
    <x v="2"/>
  </r>
  <r>
    <x v="0"/>
    <x v="60"/>
    <x v="60"/>
    <x v="107"/>
    <x v="107"/>
    <x v="107"/>
    <x v="17"/>
    <x v="331"/>
    <x v="214"/>
    <x v="68"/>
    <x v="345"/>
    <x v="320"/>
    <x v="340"/>
    <x v="2"/>
  </r>
  <r>
    <x v="0"/>
    <x v="60"/>
    <x v="60"/>
    <x v="108"/>
    <x v="108"/>
    <x v="108"/>
    <x v="17"/>
    <x v="331"/>
    <x v="214"/>
    <x v="68"/>
    <x v="345"/>
    <x v="320"/>
    <x v="340"/>
    <x v="2"/>
  </r>
  <r>
    <x v="0"/>
    <x v="60"/>
    <x v="60"/>
    <x v="93"/>
    <x v="93"/>
    <x v="93"/>
    <x v="17"/>
    <x v="331"/>
    <x v="214"/>
    <x v="57"/>
    <x v="243"/>
    <x v="295"/>
    <x v="28"/>
    <x v="2"/>
  </r>
  <r>
    <x v="0"/>
    <x v="60"/>
    <x v="60"/>
    <x v="63"/>
    <x v="63"/>
    <x v="63"/>
    <x v="17"/>
    <x v="331"/>
    <x v="214"/>
    <x v="68"/>
    <x v="345"/>
    <x v="320"/>
    <x v="340"/>
    <x v="2"/>
  </r>
  <r>
    <x v="0"/>
    <x v="60"/>
    <x v="60"/>
    <x v="54"/>
    <x v="54"/>
    <x v="54"/>
    <x v="17"/>
    <x v="331"/>
    <x v="214"/>
    <x v="57"/>
    <x v="243"/>
    <x v="295"/>
    <x v="28"/>
    <x v="2"/>
  </r>
  <r>
    <x v="0"/>
    <x v="60"/>
    <x v="60"/>
    <x v="88"/>
    <x v="88"/>
    <x v="88"/>
    <x v="17"/>
    <x v="331"/>
    <x v="214"/>
    <x v="68"/>
    <x v="345"/>
    <x v="320"/>
    <x v="340"/>
    <x v="2"/>
  </r>
  <r>
    <x v="0"/>
    <x v="60"/>
    <x v="60"/>
    <x v="15"/>
    <x v="15"/>
    <x v="15"/>
    <x v="17"/>
    <x v="331"/>
    <x v="214"/>
    <x v="57"/>
    <x v="243"/>
    <x v="295"/>
    <x v="28"/>
    <x v="2"/>
  </r>
  <r>
    <x v="0"/>
    <x v="61"/>
    <x v="61"/>
    <x v="109"/>
    <x v="109"/>
    <x v="109"/>
    <x v="0"/>
    <x v="414"/>
    <x v="348"/>
    <x v="54"/>
    <x v="556"/>
    <x v="320"/>
    <x v="340"/>
    <x v="2"/>
  </r>
  <r>
    <x v="0"/>
    <x v="61"/>
    <x v="61"/>
    <x v="7"/>
    <x v="7"/>
    <x v="7"/>
    <x v="1"/>
    <x v="331"/>
    <x v="349"/>
    <x v="57"/>
    <x v="557"/>
    <x v="295"/>
    <x v="412"/>
    <x v="2"/>
  </r>
  <r>
    <x v="0"/>
    <x v="61"/>
    <x v="61"/>
    <x v="80"/>
    <x v="80"/>
    <x v="80"/>
    <x v="1"/>
    <x v="331"/>
    <x v="349"/>
    <x v="68"/>
    <x v="558"/>
    <x v="320"/>
    <x v="340"/>
    <x v="2"/>
  </r>
  <r>
    <x v="0"/>
    <x v="61"/>
    <x v="61"/>
    <x v="81"/>
    <x v="81"/>
    <x v="81"/>
    <x v="3"/>
    <x v="417"/>
    <x v="350"/>
    <x v="56"/>
    <x v="52"/>
    <x v="295"/>
    <x v="412"/>
    <x v="2"/>
  </r>
  <r>
    <x v="0"/>
    <x v="61"/>
    <x v="61"/>
    <x v="82"/>
    <x v="82"/>
    <x v="82"/>
    <x v="3"/>
    <x v="417"/>
    <x v="350"/>
    <x v="57"/>
    <x v="557"/>
    <x v="320"/>
    <x v="340"/>
    <x v="2"/>
  </r>
  <r>
    <x v="0"/>
    <x v="61"/>
    <x v="61"/>
    <x v="3"/>
    <x v="3"/>
    <x v="3"/>
    <x v="3"/>
    <x v="417"/>
    <x v="350"/>
    <x v="57"/>
    <x v="557"/>
    <x v="320"/>
    <x v="340"/>
    <x v="2"/>
  </r>
  <r>
    <x v="0"/>
    <x v="61"/>
    <x v="61"/>
    <x v="110"/>
    <x v="110"/>
    <x v="110"/>
    <x v="3"/>
    <x v="417"/>
    <x v="350"/>
    <x v="57"/>
    <x v="557"/>
    <x v="320"/>
    <x v="340"/>
    <x v="2"/>
  </r>
  <r>
    <x v="0"/>
    <x v="61"/>
    <x v="61"/>
    <x v="2"/>
    <x v="2"/>
    <x v="2"/>
    <x v="3"/>
    <x v="417"/>
    <x v="350"/>
    <x v="57"/>
    <x v="557"/>
    <x v="320"/>
    <x v="340"/>
    <x v="2"/>
  </r>
  <r>
    <x v="0"/>
    <x v="61"/>
    <x v="61"/>
    <x v="91"/>
    <x v="91"/>
    <x v="91"/>
    <x v="3"/>
    <x v="417"/>
    <x v="350"/>
    <x v="56"/>
    <x v="52"/>
    <x v="295"/>
    <x v="412"/>
    <x v="2"/>
  </r>
  <r>
    <x v="0"/>
    <x v="62"/>
    <x v="62"/>
    <x v="10"/>
    <x v="10"/>
    <x v="10"/>
    <x v="0"/>
    <x v="389"/>
    <x v="351"/>
    <x v="212"/>
    <x v="559"/>
    <x v="288"/>
    <x v="394"/>
    <x v="2"/>
  </r>
  <r>
    <x v="0"/>
    <x v="62"/>
    <x v="62"/>
    <x v="80"/>
    <x v="80"/>
    <x v="80"/>
    <x v="1"/>
    <x v="390"/>
    <x v="352"/>
    <x v="104"/>
    <x v="560"/>
    <x v="150"/>
    <x v="311"/>
    <x v="2"/>
  </r>
  <r>
    <x v="0"/>
    <x v="62"/>
    <x v="62"/>
    <x v="3"/>
    <x v="3"/>
    <x v="3"/>
    <x v="2"/>
    <x v="378"/>
    <x v="353"/>
    <x v="104"/>
    <x v="560"/>
    <x v="294"/>
    <x v="26"/>
    <x v="2"/>
  </r>
  <r>
    <x v="0"/>
    <x v="62"/>
    <x v="62"/>
    <x v="1"/>
    <x v="1"/>
    <x v="1"/>
    <x v="3"/>
    <x v="404"/>
    <x v="38"/>
    <x v="94"/>
    <x v="561"/>
    <x v="293"/>
    <x v="155"/>
    <x v="2"/>
  </r>
  <r>
    <x v="0"/>
    <x v="62"/>
    <x v="62"/>
    <x v="2"/>
    <x v="2"/>
    <x v="2"/>
    <x v="4"/>
    <x v="405"/>
    <x v="321"/>
    <x v="94"/>
    <x v="561"/>
    <x v="320"/>
    <x v="340"/>
    <x v="2"/>
  </r>
  <r>
    <x v="0"/>
    <x v="62"/>
    <x v="62"/>
    <x v="34"/>
    <x v="34"/>
    <x v="34"/>
    <x v="5"/>
    <x v="327"/>
    <x v="282"/>
    <x v="72"/>
    <x v="562"/>
    <x v="320"/>
    <x v="340"/>
    <x v="2"/>
  </r>
  <r>
    <x v="0"/>
    <x v="62"/>
    <x v="62"/>
    <x v="100"/>
    <x v="100"/>
    <x v="100"/>
    <x v="6"/>
    <x v="412"/>
    <x v="4"/>
    <x v="54"/>
    <x v="563"/>
    <x v="294"/>
    <x v="26"/>
    <x v="2"/>
  </r>
  <r>
    <x v="0"/>
    <x v="62"/>
    <x v="62"/>
    <x v="11"/>
    <x v="11"/>
    <x v="11"/>
    <x v="6"/>
    <x v="412"/>
    <x v="4"/>
    <x v="70"/>
    <x v="490"/>
    <x v="320"/>
    <x v="340"/>
    <x v="2"/>
  </r>
  <r>
    <x v="0"/>
    <x v="62"/>
    <x v="62"/>
    <x v="54"/>
    <x v="54"/>
    <x v="54"/>
    <x v="8"/>
    <x v="416"/>
    <x v="181"/>
    <x v="54"/>
    <x v="563"/>
    <x v="288"/>
    <x v="394"/>
    <x v="2"/>
  </r>
  <r>
    <x v="0"/>
    <x v="62"/>
    <x v="62"/>
    <x v="91"/>
    <x v="91"/>
    <x v="91"/>
    <x v="8"/>
    <x v="416"/>
    <x v="181"/>
    <x v="47"/>
    <x v="127"/>
    <x v="294"/>
    <x v="26"/>
    <x v="2"/>
  </r>
  <r>
    <x v="0"/>
    <x v="62"/>
    <x v="62"/>
    <x v="50"/>
    <x v="50"/>
    <x v="50"/>
    <x v="10"/>
    <x v="413"/>
    <x v="243"/>
    <x v="47"/>
    <x v="127"/>
    <x v="288"/>
    <x v="394"/>
    <x v="2"/>
  </r>
  <r>
    <x v="0"/>
    <x v="62"/>
    <x v="62"/>
    <x v="8"/>
    <x v="8"/>
    <x v="8"/>
    <x v="10"/>
    <x v="413"/>
    <x v="243"/>
    <x v="51"/>
    <x v="28"/>
    <x v="320"/>
    <x v="340"/>
    <x v="2"/>
  </r>
  <r>
    <x v="0"/>
    <x v="62"/>
    <x v="62"/>
    <x v="6"/>
    <x v="6"/>
    <x v="6"/>
    <x v="10"/>
    <x v="413"/>
    <x v="243"/>
    <x v="54"/>
    <x v="563"/>
    <x v="295"/>
    <x v="130"/>
    <x v="2"/>
  </r>
  <r>
    <x v="0"/>
    <x v="62"/>
    <x v="62"/>
    <x v="63"/>
    <x v="63"/>
    <x v="63"/>
    <x v="13"/>
    <x v="414"/>
    <x v="65"/>
    <x v="53"/>
    <x v="564"/>
    <x v="294"/>
    <x v="26"/>
    <x v="2"/>
  </r>
  <r>
    <x v="0"/>
    <x v="62"/>
    <x v="62"/>
    <x v="0"/>
    <x v="0"/>
    <x v="0"/>
    <x v="13"/>
    <x v="414"/>
    <x v="65"/>
    <x v="54"/>
    <x v="563"/>
    <x v="320"/>
    <x v="340"/>
    <x v="2"/>
  </r>
  <r>
    <x v="0"/>
    <x v="62"/>
    <x v="62"/>
    <x v="111"/>
    <x v="111"/>
    <x v="111"/>
    <x v="13"/>
    <x v="414"/>
    <x v="65"/>
    <x v="45"/>
    <x v="565"/>
    <x v="288"/>
    <x v="394"/>
    <x v="2"/>
  </r>
  <r>
    <x v="0"/>
    <x v="62"/>
    <x v="62"/>
    <x v="82"/>
    <x v="82"/>
    <x v="82"/>
    <x v="13"/>
    <x v="414"/>
    <x v="65"/>
    <x v="47"/>
    <x v="127"/>
    <x v="295"/>
    <x v="130"/>
    <x v="2"/>
  </r>
  <r>
    <x v="0"/>
    <x v="62"/>
    <x v="62"/>
    <x v="66"/>
    <x v="66"/>
    <x v="66"/>
    <x v="17"/>
    <x v="329"/>
    <x v="14"/>
    <x v="68"/>
    <x v="566"/>
    <x v="294"/>
    <x v="26"/>
    <x v="2"/>
  </r>
  <r>
    <x v="0"/>
    <x v="62"/>
    <x v="62"/>
    <x v="36"/>
    <x v="36"/>
    <x v="36"/>
    <x v="17"/>
    <x v="329"/>
    <x v="14"/>
    <x v="57"/>
    <x v="27"/>
    <x v="293"/>
    <x v="155"/>
    <x v="2"/>
  </r>
  <r>
    <x v="0"/>
    <x v="62"/>
    <x v="62"/>
    <x v="48"/>
    <x v="48"/>
    <x v="48"/>
    <x v="17"/>
    <x v="329"/>
    <x v="14"/>
    <x v="53"/>
    <x v="564"/>
    <x v="295"/>
    <x v="130"/>
    <x v="3"/>
  </r>
  <r>
    <x v="0"/>
    <x v="62"/>
    <x v="62"/>
    <x v="7"/>
    <x v="7"/>
    <x v="7"/>
    <x v="17"/>
    <x v="329"/>
    <x v="14"/>
    <x v="45"/>
    <x v="565"/>
    <x v="295"/>
    <x v="130"/>
    <x v="2"/>
  </r>
  <r>
    <x v="0"/>
    <x v="62"/>
    <x v="62"/>
    <x v="15"/>
    <x v="15"/>
    <x v="15"/>
    <x v="17"/>
    <x v="329"/>
    <x v="14"/>
    <x v="56"/>
    <x v="52"/>
    <x v="293"/>
    <x v="155"/>
    <x v="3"/>
  </r>
  <r>
    <x v="0"/>
    <x v="63"/>
    <x v="63"/>
    <x v="80"/>
    <x v="80"/>
    <x v="80"/>
    <x v="0"/>
    <x v="330"/>
    <x v="354"/>
    <x v="68"/>
    <x v="567"/>
    <x v="295"/>
    <x v="413"/>
    <x v="2"/>
  </r>
  <r>
    <x v="0"/>
    <x v="63"/>
    <x v="63"/>
    <x v="3"/>
    <x v="3"/>
    <x v="3"/>
    <x v="1"/>
    <x v="331"/>
    <x v="355"/>
    <x v="68"/>
    <x v="567"/>
    <x v="320"/>
    <x v="340"/>
    <x v="2"/>
  </r>
  <r>
    <x v="0"/>
    <x v="63"/>
    <x v="63"/>
    <x v="112"/>
    <x v="112"/>
    <x v="112"/>
    <x v="2"/>
    <x v="417"/>
    <x v="356"/>
    <x v="56"/>
    <x v="52"/>
    <x v="295"/>
    <x v="413"/>
    <x v="2"/>
  </r>
  <r>
    <x v="0"/>
    <x v="63"/>
    <x v="63"/>
    <x v="113"/>
    <x v="113"/>
    <x v="113"/>
    <x v="2"/>
    <x v="417"/>
    <x v="356"/>
    <x v="56"/>
    <x v="52"/>
    <x v="295"/>
    <x v="413"/>
    <x v="2"/>
  </r>
  <r>
    <x v="0"/>
    <x v="63"/>
    <x v="63"/>
    <x v="114"/>
    <x v="114"/>
    <x v="114"/>
    <x v="2"/>
    <x v="417"/>
    <x v="356"/>
    <x v="56"/>
    <x v="52"/>
    <x v="295"/>
    <x v="413"/>
    <x v="2"/>
  </r>
  <r>
    <x v="0"/>
    <x v="63"/>
    <x v="63"/>
    <x v="83"/>
    <x v="83"/>
    <x v="83"/>
    <x v="2"/>
    <x v="417"/>
    <x v="356"/>
    <x v="57"/>
    <x v="568"/>
    <x v="320"/>
    <x v="340"/>
    <x v="2"/>
  </r>
  <r>
    <x v="0"/>
    <x v="63"/>
    <x v="63"/>
    <x v="82"/>
    <x v="82"/>
    <x v="82"/>
    <x v="2"/>
    <x v="417"/>
    <x v="356"/>
    <x v="57"/>
    <x v="568"/>
    <x v="320"/>
    <x v="340"/>
    <x v="2"/>
  </r>
  <r>
    <x v="0"/>
    <x v="63"/>
    <x v="63"/>
    <x v="65"/>
    <x v="65"/>
    <x v="65"/>
    <x v="2"/>
    <x v="417"/>
    <x v="356"/>
    <x v="56"/>
    <x v="52"/>
    <x v="320"/>
    <x v="340"/>
    <x v="2"/>
  </r>
  <r>
    <x v="0"/>
    <x v="63"/>
    <x v="63"/>
    <x v="67"/>
    <x v="67"/>
    <x v="67"/>
    <x v="2"/>
    <x v="417"/>
    <x v="356"/>
    <x v="56"/>
    <x v="52"/>
    <x v="295"/>
    <x v="413"/>
    <x v="2"/>
  </r>
  <r>
    <x v="0"/>
    <x v="64"/>
    <x v="64"/>
    <x v="80"/>
    <x v="80"/>
    <x v="80"/>
    <x v="0"/>
    <x v="389"/>
    <x v="357"/>
    <x v="189"/>
    <x v="569"/>
    <x v="150"/>
    <x v="411"/>
    <x v="2"/>
  </r>
  <r>
    <x v="0"/>
    <x v="64"/>
    <x v="64"/>
    <x v="0"/>
    <x v="0"/>
    <x v="0"/>
    <x v="1"/>
    <x v="409"/>
    <x v="358"/>
    <x v="65"/>
    <x v="570"/>
    <x v="295"/>
    <x v="82"/>
    <x v="2"/>
  </r>
  <r>
    <x v="0"/>
    <x v="64"/>
    <x v="64"/>
    <x v="82"/>
    <x v="82"/>
    <x v="82"/>
    <x v="1"/>
    <x v="409"/>
    <x v="358"/>
    <x v="63"/>
    <x v="571"/>
    <x v="293"/>
    <x v="20"/>
    <x v="2"/>
  </r>
  <r>
    <x v="0"/>
    <x v="64"/>
    <x v="64"/>
    <x v="7"/>
    <x v="7"/>
    <x v="7"/>
    <x v="3"/>
    <x v="412"/>
    <x v="322"/>
    <x v="54"/>
    <x v="26"/>
    <x v="294"/>
    <x v="414"/>
    <x v="2"/>
  </r>
  <r>
    <x v="0"/>
    <x v="64"/>
    <x v="64"/>
    <x v="3"/>
    <x v="3"/>
    <x v="3"/>
    <x v="4"/>
    <x v="413"/>
    <x v="359"/>
    <x v="51"/>
    <x v="572"/>
    <x v="320"/>
    <x v="340"/>
    <x v="2"/>
  </r>
  <r>
    <x v="0"/>
    <x v="64"/>
    <x v="64"/>
    <x v="91"/>
    <x v="91"/>
    <x v="91"/>
    <x v="5"/>
    <x v="414"/>
    <x v="360"/>
    <x v="53"/>
    <x v="326"/>
    <x v="294"/>
    <x v="414"/>
    <x v="2"/>
  </r>
  <r>
    <x v="0"/>
    <x v="64"/>
    <x v="64"/>
    <x v="54"/>
    <x v="54"/>
    <x v="54"/>
    <x v="6"/>
    <x v="329"/>
    <x v="310"/>
    <x v="53"/>
    <x v="326"/>
    <x v="288"/>
    <x v="415"/>
    <x v="2"/>
  </r>
  <r>
    <x v="0"/>
    <x v="64"/>
    <x v="64"/>
    <x v="58"/>
    <x v="58"/>
    <x v="58"/>
    <x v="6"/>
    <x v="329"/>
    <x v="310"/>
    <x v="45"/>
    <x v="435"/>
    <x v="295"/>
    <x v="82"/>
    <x v="2"/>
  </r>
  <r>
    <x v="0"/>
    <x v="64"/>
    <x v="64"/>
    <x v="14"/>
    <x v="14"/>
    <x v="14"/>
    <x v="8"/>
    <x v="415"/>
    <x v="25"/>
    <x v="57"/>
    <x v="121"/>
    <x v="294"/>
    <x v="414"/>
    <x v="2"/>
  </r>
  <r>
    <x v="0"/>
    <x v="64"/>
    <x v="64"/>
    <x v="34"/>
    <x v="34"/>
    <x v="34"/>
    <x v="8"/>
    <x v="415"/>
    <x v="25"/>
    <x v="53"/>
    <x v="326"/>
    <x v="295"/>
    <x v="82"/>
    <x v="2"/>
  </r>
  <r>
    <x v="0"/>
    <x v="64"/>
    <x v="64"/>
    <x v="64"/>
    <x v="64"/>
    <x v="64"/>
    <x v="10"/>
    <x v="330"/>
    <x v="195"/>
    <x v="56"/>
    <x v="52"/>
    <x v="294"/>
    <x v="414"/>
    <x v="2"/>
  </r>
  <r>
    <x v="0"/>
    <x v="64"/>
    <x v="64"/>
    <x v="36"/>
    <x v="36"/>
    <x v="36"/>
    <x v="10"/>
    <x v="330"/>
    <x v="195"/>
    <x v="57"/>
    <x v="121"/>
    <x v="288"/>
    <x v="415"/>
    <x v="2"/>
  </r>
  <r>
    <x v="0"/>
    <x v="64"/>
    <x v="64"/>
    <x v="104"/>
    <x v="104"/>
    <x v="104"/>
    <x v="10"/>
    <x v="330"/>
    <x v="195"/>
    <x v="57"/>
    <x v="121"/>
    <x v="288"/>
    <x v="415"/>
    <x v="2"/>
  </r>
  <r>
    <x v="0"/>
    <x v="64"/>
    <x v="64"/>
    <x v="115"/>
    <x v="115"/>
    <x v="115"/>
    <x v="10"/>
    <x v="330"/>
    <x v="195"/>
    <x v="56"/>
    <x v="52"/>
    <x v="294"/>
    <x v="414"/>
    <x v="2"/>
  </r>
  <r>
    <x v="0"/>
    <x v="64"/>
    <x v="64"/>
    <x v="1"/>
    <x v="1"/>
    <x v="1"/>
    <x v="10"/>
    <x v="330"/>
    <x v="195"/>
    <x v="68"/>
    <x v="146"/>
    <x v="295"/>
    <x v="82"/>
    <x v="2"/>
  </r>
  <r>
    <x v="0"/>
    <x v="64"/>
    <x v="64"/>
    <x v="62"/>
    <x v="62"/>
    <x v="62"/>
    <x v="10"/>
    <x v="330"/>
    <x v="195"/>
    <x v="68"/>
    <x v="146"/>
    <x v="295"/>
    <x v="82"/>
    <x v="2"/>
  </r>
  <r>
    <x v="0"/>
    <x v="64"/>
    <x v="64"/>
    <x v="10"/>
    <x v="10"/>
    <x v="10"/>
    <x v="10"/>
    <x v="330"/>
    <x v="195"/>
    <x v="53"/>
    <x v="326"/>
    <x v="320"/>
    <x v="340"/>
    <x v="2"/>
  </r>
  <r>
    <x v="0"/>
    <x v="64"/>
    <x v="64"/>
    <x v="110"/>
    <x v="110"/>
    <x v="110"/>
    <x v="10"/>
    <x v="330"/>
    <x v="195"/>
    <x v="53"/>
    <x v="326"/>
    <x v="320"/>
    <x v="340"/>
    <x v="2"/>
  </r>
  <r>
    <x v="0"/>
    <x v="64"/>
    <x v="64"/>
    <x v="116"/>
    <x v="116"/>
    <x v="116"/>
    <x v="18"/>
    <x v="331"/>
    <x v="361"/>
    <x v="56"/>
    <x v="52"/>
    <x v="288"/>
    <x v="415"/>
    <x v="2"/>
  </r>
  <r>
    <x v="0"/>
    <x v="64"/>
    <x v="64"/>
    <x v="39"/>
    <x v="39"/>
    <x v="39"/>
    <x v="18"/>
    <x v="331"/>
    <x v="361"/>
    <x v="57"/>
    <x v="121"/>
    <x v="295"/>
    <x v="82"/>
    <x v="2"/>
  </r>
  <r>
    <x v="0"/>
    <x v="64"/>
    <x v="64"/>
    <x v="43"/>
    <x v="43"/>
    <x v="43"/>
    <x v="18"/>
    <x v="331"/>
    <x v="361"/>
    <x v="56"/>
    <x v="52"/>
    <x v="288"/>
    <x v="415"/>
    <x v="2"/>
  </r>
  <r>
    <x v="0"/>
    <x v="64"/>
    <x v="64"/>
    <x v="114"/>
    <x v="114"/>
    <x v="114"/>
    <x v="18"/>
    <x v="331"/>
    <x v="361"/>
    <x v="57"/>
    <x v="121"/>
    <x v="295"/>
    <x v="82"/>
    <x v="2"/>
  </r>
  <r>
    <x v="0"/>
    <x v="64"/>
    <x v="64"/>
    <x v="109"/>
    <x v="109"/>
    <x v="109"/>
    <x v="18"/>
    <x v="331"/>
    <x v="361"/>
    <x v="56"/>
    <x v="52"/>
    <x v="288"/>
    <x v="415"/>
    <x v="2"/>
  </r>
  <r>
    <x v="0"/>
    <x v="64"/>
    <x v="64"/>
    <x v="32"/>
    <x v="32"/>
    <x v="32"/>
    <x v="18"/>
    <x v="331"/>
    <x v="361"/>
    <x v="68"/>
    <x v="146"/>
    <x v="320"/>
    <x v="340"/>
    <x v="2"/>
  </r>
  <r>
    <x v="0"/>
    <x v="64"/>
    <x v="64"/>
    <x v="48"/>
    <x v="48"/>
    <x v="48"/>
    <x v="18"/>
    <x v="331"/>
    <x v="361"/>
    <x v="68"/>
    <x v="146"/>
    <x v="320"/>
    <x v="340"/>
    <x v="2"/>
  </r>
  <r>
    <x v="0"/>
    <x v="64"/>
    <x v="64"/>
    <x v="16"/>
    <x v="16"/>
    <x v="16"/>
    <x v="18"/>
    <x v="331"/>
    <x v="361"/>
    <x v="68"/>
    <x v="146"/>
    <x v="320"/>
    <x v="340"/>
    <x v="2"/>
  </r>
  <r>
    <x v="0"/>
    <x v="64"/>
    <x v="64"/>
    <x v="41"/>
    <x v="41"/>
    <x v="41"/>
    <x v="18"/>
    <x v="331"/>
    <x v="361"/>
    <x v="57"/>
    <x v="121"/>
    <x v="295"/>
    <x v="82"/>
    <x v="2"/>
  </r>
  <r>
    <x v="0"/>
    <x v="64"/>
    <x v="64"/>
    <x v="117"/>
    <x v="117"/>
    <x v="117"/>
    <x v="18"/>
    <x v="331"/>
    <x v="361"/>
    <x v="56"/>
    <x v="52"/>
    <x v="288"/>
    <x v="415"/>
    <x v="2"/>
  </r>
  <r>
    <x v="0"/>
    <x v="64"/>
    <x v="64"/>
    <x v="118"/>
    <x v="118"/>
    <x v="118"/>
    <x v="18"/>
    <x v="331"/>
    <x v="361"/>
    <x v="56"/>
    <x v="52"/>
    <x v="288"/>
    <x v="415"/>
    <x v="2"/>
  </r>
  <r>
    <x v="0"/>
    <x v="64"/>
    <x v="64"/>
    <x v="119"/>
    <x v="119"/>
    <x v="119"/>
    <x v="18"/>
    <x v="331"/>
    <x v="361"/>
    <x v="56"/>
    <x v="52"/>
    <x v="288"/>
    <x v="4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4784CF-7632-43DA-9094-025B730C2DC1}" name="pvt_L" cacheId="2164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041" firstHeaderRow="0" firstDataRow="1" firstDataCol="1"/>
  <pivotFields count="11">
    <pivotField showAll="0"/>
    <pivotField showAll="0"/>
    <pivotField axis="axisRow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0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959">
      <pivotArea field="2" type="button" dataOnly="0" labelOnly="1" outline="0" axis="axisRow" fieldPosition="0"/>
    </format>
    <format dxfId="958">
      <pivotArea outline="0" fieldPosition="0">
        <references count="1">
          <reference field="4294967294" count="1">
            <x v="0"/>
          </reference>
        </references>
      </pivotArea>
    </format>
    <format dxfId="957">
      <pivotArea outline="0" fieldPosition="0">
        <references count="1">
          <reference field="4294967294" count="1">
            <x v="1"/>
          </reference>
        </references>
      </pivotArea>
    </format>
    <format dxfId="956">
      <pivotArea outline="0" fieldPosition="0">
        <references count="1">
          <reference field="4294967294" count="1">
            <x v="2"/>
          </reference>
        </references>
      </pivotArea>
    </format>
    <format dxfId="955">
      <pivotArea outline="0" fieldPosition="0">
        <references count="1">
          <reference field="4294967294" count="1">
            <x v="3"/>
          </reference>
        </references>
      </pivotArea>
    </format>
    <format dxfId="954">
      <pivotArea outline="0" fieldPosition="0">
        <references count="1">
          <reference field="4294967294" count="1">
            <x v="4"/>
          </reference>
        </references>
      </pivotArea>
    </format>
    <format dxfId="953">
      <pivotArea outline="0" fieldPosition="0">
        <references count="1">
          <reference field="4294967294" count="1">
            <x v="5"/>
          </reference>
        </references>
      </pivotArea>
    </format>
    <format dxfId="952">
      <pivotArea outline="0" fieldPosition="0">
        <references count="1">
          <reference field="4294967294" count="1">
            <x v="6"/>
          </reference>
        </references>
      </pivotArea>
    </format>
    <format dxfId="951">
      <pivotArea field="2" type="button" dataOnly="0" labelOnly="1" outline="0" axis="axisRow" fieldPosition="0"/>
    </format>
    <format dxfId="9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9">
      <pivotArea field="2" type="button" dataOnly="0" labelOnly="1" outline="0" axis="axisRow" fieldPosition="0"/>
    </format>
    <format dxfId="9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7">
      <pivotArea field="2" type="button" dataOnly="0" labelOnly="1" outline="0" axis="axisRow" fieldPosition="0"/>
    </format>
    <format dxfId="9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3C443F-B1D6-481B-BB31-63D27627C892}" name="pvt_M" cacheId="216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78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5">
        <item x="50"/>
        <item x="48"/>
        <item x="49"/>
        <item x="23"/>
        <item x="25"/>
        <item x="24"/>
        <item x="9"/>
        <item x="4"/>
        <item x="19"/>
        <item x="39"/>
        <item x="40"/>
        <item x="42"/>
        <item x="29"/>
        <item x="61"/>
        <item x="60"/>
        <item x="14"/>
        <item x="64"/>
        <item x="35"/>
        <item x="36"/>
        <item x="32"/>
        <item x="5"/>
        <item x="16"/>
        <item x="13"/>
        <item x="44"/>
        <item x="55"/>
        <item x="52"/>
        <item x="53"/>
        <item x="54"/>
        <item x="51"/>
        <item x="30"/>
        <item x="2"/>
        <item x="22"/>
        <item x="47"/>
        <item x="7"/>
        <item x="12"/>
        <item x="58"/>
        <item x="59"/>
        <item x="56"/>
        <item x="57"/>
        <item x="3"/>
        <item x="15"/>
        <item x="34"/>
        <item x="33"/>
        <item x="45"/>
        <item x="0"/>
        <item x="38"/>
        <item x="43"/>
        <item x="1"/>
        <item x="37"/>
        <item x="26"/>
        <item x="63"/>
        <item x="62"/>
        <item x="20"/>
        <item x="10"/>
        <item x="31"/>
        <item x="46"/>
        <item x="28"/>
        <item x="41"/>
        <item x="6"/>
        <item x="17"/>
        <item x="18"/>
        <item x="8"/>
        <item x="11"/>
        <item x="27"/>
        <item x="21"/>
      </items>
    </pivotField>
    <pivotField axis="axisRow" showAll="0" insertBlankRow="1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67">
        <item x="8"/>
        <item x="6"/>
        <item x="10"/>
        <item x="52"/>
        <item x="64"/>
        <item x="31"/>
        <item x="48"/>
        <item x="49"/>
        <item x="20"/>
        <item x="38"/>
        <item x="36"/>
        <item x="29"/>
        <item x="58"/>
        <item x="53"/>
        <item x="39"/>
        <item x="30"/>
        <item x="33"/>
        <item x="32"/>
        <item x="40"/>
        <item x="59"/>
        <item x="46"/>
        <item x="47"/>
        <item x="28"/>
        <item x="51"/>
        <item x="54"/>
        <item x="65"/>
        <item x="17"/>
        <item x="34"/>
        <item x="19"/>
        <item x="35"/>
        <item x="41"/>
        <item x="63"/>
        <item x="61"/>
        <item x="66"/>
        <item x="24"/>
        <item x="23"/>
        <item x="21"/>
        <item x="16"/>
        <item x="15"/>
        <item x="11"/>
        <item x="7"/>
        <item x="18"/>
        <item x="4"/>
        <item x="42"/>
        <item x="22"/>
        <item x="12"/>
        <item x="0"/>
        <item x="55"/>
        <item x="56"/>
        <item x="2"/>
        <item x="26"/>
        <item x="13"/>
        <item x="50"/>
        <item x="1"/>
        <item x="43"/>
        <item x="3"/>
        <item x="27"/>
        <item x="25"/>
        <item x="9"/>
        <item x="5"/>
        <item x="44"/>
        <item x="60"/>
        <item x="45"/>
        <item x="37"/>
        <item x="57"/>
        <item x="14"/>
        <item x="62"/>
      </items>
    </pivotField>
    <pivotField showAll="0" defaultSubtotal="0">
      <items count="67">
        <item x="34"/>
        <item x="62"/>
        <item x="15"/>
        <item x="9"/>
        <item x="14"/>
        <item x="4"/>
        <item x="27"/>
        <item x="28"/>
        <item x="29"/>
        <item x="33"/>
        <item x="36"/>
        <item x="5"/>
        <item x="20"/>
        <item x="1"/>
        <item x="23"/>
        <item x="7"/>
        <item x="64"/>
        <item x="61"/>
        <item x="19"/>
        <item x="38"/>
        <item x="49"/>
        <item x="66"/>
        <item x="56"/>
        <item x="16"/>
        <item x="18"/>
        <item x="37"/>
        <item x="13"/>
        <item x="40"/>
        <item x="30"/>
        <item x="21"/>
        <item x="25"/>
        <item x="26"/>
        <item x="43"/>
        <item x="45"/>
        <item x="44"/>
        <item x="50"/>
        <item x="17"/>
        <item x="11"/>
        <item x="57"/>
        <item x="6"/>
        <item x="52"/>
        <item x="63"/>
        <item x="54"/>
        <item x="32"/>
        <item x="10"/>
        <item x="2"/>
        <item x="3"/>
        <item x="24"/>
        <item x="31"/>
        <item x="8"/>
        <item x="53"/>
        <item x="46"/>
        <item x="51"/>
        <item x="59"/>
        <item x="41"/>
        <item x="35"/>
        <item x="60"/>
        <item x="39"/>
        <item x="12"/>
        <item x="0"/>
        <item x="55"/>
        <item x="22"/>
        <item x="65"/>
        <item x="42"/>
        <item x="48"/>
        <item x="47"/>
        <item x="58"/>
      </items>
    </pivotField>
    <pivotField axis="axisRow" showAll="0" defaultSubtotal="0">
      <items count="67">
        <item x="8"/>
        <item x="6"/>
        <item x="10"/>
        <item x="52"/>
        <item x="64"/>
        <item x="31"/>
        <item x="48"/>
        <item x="49"/>
        <item x="20"/>
        <item x="38"/>
        <item x="36"/>
        <item x="29"/>
        <item x="58"/>
        <item x="53"/>
        <item x="39"/>
        <item x="30"/>
        <item x="33"/>
        <item x="32"/>
        <item x="40"/>
        <item x="59"/>
        <item x="46"/>
        <item x="47"/>
        <item x="28"/>
        <item x="51"/>
        <item x="54"/>
        <item x="65"/>
        <item x="17"/>
        <item x="34"/>
        <item x="19"/>
        <item x="35"/>
        <item x="41"/>
        <item x="63"/>
        <item x="61"/>
        <item x="66"/>
        <item x="24"/>
        <item x="23"/>
        <item x="21"/>
        <item x="16"/>
        <item x="15"/>
        <item x="11"/>
        <item x="7"/>
        <item x="18"/>
        <item x="4"/>
        <item x="42"/>
        <item x="22"/>
        <item x="12"/>
        <item x="0"/>
        <item x="55"/>
        <item x="56"/>
        <item x="2"/>
        <item x="26"/>
        <item x="13"/>
        <item x="50"/>
        <item x="1"/>
        <item x="43"/>
        <item x="3"/>
        <item x="27"/>
        <item x="25"/>
        <item x="9"/>
        <item x="5"/>
        <item x="44"/>
        <item x="60"/>
        <item x="45"/>
        <item x="37"/>
        <item x="57"/>
        <item x="14"/>
        <item x="6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528">
        <item x="383"/>
        <item x="382"/>
        <item x="381"/>
        <item x="380"/>
        <item x="526"/>
        <item x="525"/>
        <item x="379"/>
        <item x="378"/>
        <item x="524"/>
        <item x="508"/>
        <item x="507"/>
        <item x="506"/>
        <item x="518"/>
        <item x="505"/>
        <item x="513"/>
        <item x="377"/>
        <item x="515"/>
        <item x="512"/>
        <item x="511"/>
        <item x="501"/>
        <item x="504"/>
        <item x="494"/>
        <item x="517"/>
        <item x="481"/>
        <item x="480"/>
        <item x="464"/>
        <item x="463"/>
        <item x="462"/>
        <item x="461"/>
        <item x="376"/>
        <item x="460"/>
        <item x="375"/>
        <item x="440"/>
        <item x="454"/>
        <item x="439"/>
        <item x="438"/>
        <item x="437"/>
        <item x="500"/>
        <item x="486"/>
        <item x="485"/>
        <item x="453"/>
        <item x="499"/>
        <item x="459"/>
        <item x="426"/>
        <item x="452"/>
        <item x="425"/>
        <item x="479"/>
        <item x="484"/>
        <item x="478"/>
        <item x="436"/>
        <item x="477"/>
        <item x="424"/>
        <item x="451"/>
        <item x="413"/>
        <item x="412"/>
        <item x="510"/>
        <item x="450"/>
        <item x="411"/>
        <item x="523"/>
        <item x="435"/>
        <item x="458"/>
        <item x="455"/>
        <item x="434"/>
        <item x="468"/>
        <item x="423"/>
        <item x="522"/>
        <item x="503"/>
        <item x="422"/>
        <item x="421"/>
        <item x="433"/>
        <item x="420"/>
        <item x="410"/>
        <item x="491"/>
        <item x="490"/>
        <item x="409"/>
        <item x="319"/>
        <item x="467"/>
        <item x="498"/>
        <item x="408"/>
        <item x="502"/>
        <item x="497"/>
        <item x="318"/>
        <item x="449"/>
        <item x="493"/>
        <item x="489"/>
        <item x="448"/>
        <item x="407"/>
        <item x="406"/>
        <item x="457"/>
        <item x="317"/>
        <item x="521"/>
        <item x="492"/>
        <item x="474"/>
        <item x="447"/>
        <item x="527"/>
        <item x="446"/>
        <item x="445"/>
        <item x="432"/>
        <item x="309"/>
        <item x="419"/>
        <item x="476"/>
        <item x="274"/>
        <item x="308"/>
        <item x="307"/>
        <item x="273"/>
        <item x="272"/>
        <item x="211"/>
        <item x="133"/>
        <item x="210"/>
        <item x="132"/>
        <item x="209"/>
        <item x="208"/>
        <item x="271"/>
        <item x="405"/>
        <item x="431"/>
        <item x="496"/>
        <item x="488"/>
        <item x="316"/>
        <item x="207"/>
        <item x="306"/>
        <item x="131"/>
        <item x="270"/>
        <item x="519"/>
        <item x="516"/>
        <item x="514"/>
        <item x="483"/>
        <item x="430"/>
        <item x="305"/>
        <item x="315"/>
        <item x="520"/>
        <item x="397"/>
        <item x="206"/>
        <item x="444"/>
        <item x="404"/>
        <item x="298"/>
        <item x="403"/>
        <item x="205"/>
        <item x="304"/>
        <item x="130"/>
        <item x="402"/>
        <item x="287"/>
        <item x="367"/>
        <item x="314"/>
        <item x="443"/>
        <item x="297"/>
        <item x="296"/>
        <item x="129"/>
        <item x="128"/>
        <item x="313"/>
        <item x="194"/>
        <item x="442"/>
        <item x="182"/>
        <item x="165"/>
        <item x="495"/>
        <item x="286"/>
        <item x="204"/>
        <item x="269"/>
        <item x="164"/>
        <item x="466"/>
        <item x="396"/>
        <item x="285"/>
        <item x="127"/>
        <item x="303"/>
        <item x="441"/>
        <item x="181"/>
        <item x="284"/>
        <item x="180"/>
        <item x="59"/>
        <item x="193"/>
        <item x="58"/>
        <item x="395"/>
        <item x="163"/>
        <item x="366"/>
        <item x="192"/>
        <item x="374"/>
        <item x="327"/>
        <item x="394"/>
        <item x="312"/>
        <item x="179"/>
        <item x="487"/>
        <item x="295"/>
        <item x="203"/>
        <item x="509"/>
        <item x="162"/>
        <item x="393"/>
        <item x="191"/>
        <item x="57"/>
        <item x="126"/>
        <item x="268"/>
        <item x="365"/>
        <item x="401"/>
        <item x="125"/>
        <item x="124"/>
        <item x="418"/>
        <item x="400"/>
        <item x="429"/>
        <item x="115"/>
        <item x="302"/>
        <item x="114"/>
        <item x="356"/>
        <item x="245"/>
        <item x="150"/>
        <item x="263"/>
        <item x="355"/>
        <item x="294"/>
        <item x="202"/>
        <item x="123"/>
        <item x="456"/>
        <item x="244"/>
        <item x="354"/>
        <item x="283"/>
        <item x="122"/>
        <item x="149"/>
        <item x="201"/>
        <item x="475"/>
        <item x="161"/>
        <item x="190"/>
        <item x="428"/>
        <item x="160"/>
        <item x="293"/>
        <item x="301"/>
        <item x="121"/>
        <item x="482"/>
        <item x="148"/>
        <item x="147"/>
        <item x="98"/>
        <item x="392"/>
        <item x="56"/>
        <item x="55"/>
        <item x="178"/>
        <item x="340"/>
        <item x="353"/>
        <item x="177"/>
        <item x="176"/>
        <item x="175"/>
        <item x="97"/>
        <item x="79"/>
        <item x="113"/>
        <item x="174"/>
        <item x="112"/>
        <item x="146"/>
        <item x="189"/>
        <item x="78"/>
        <item x="326"/>
        <item x="228"/>
        <item x="473"/>
        <item x="159"/>
        <item x="77"/>
        <item x="54"/>
        <item x="352"/>
        <item x="158"/>
        <item x="262"/>
        <item x="227"/>
        <item x="53"/>
        <item x="282"/>
        <item x="261"/>
        <item x="292"/>
        <item x="243"/>
        <item x="417"/>
        <item x="226"/>
        <item x="76"/>
        <item x="157"/>
        <item x="399"/>
        <item x="281"/>
        <item x="465"/>
        <item x="339"/>
        <item x="225"/>
        <item x="173"/>
        <item x="200"/>
        <item x="145"/>
        <item x="188"/>
        <item x="172"/>
        <item x="156"/>
        <item x="144"/>
        <item x="96"/>
        <item x="364"/>
        <item x="260"/>
        <item x="52"/>
        <item x="95"/>
        <item x="51"/>
        <item x="363"/>
        <item x="472"/>
        <item x="224"/>
        <item x="50"/>
        <item x="75"/>
        <item x="242"/>
        <item x="94"/>
        <item x="351"/>
        <item x="120"/>
        <item x="74"/>
        <item x="73"/>
        <item x="111"/>
        <item x="72"/>
        <item x="391"/>
        <item x="93"/>
        <item x="71"/>
        <item x="280"/>
        <item x="471"/>
        <item x="171"/>
        <item x="223"/>
        <item x="49"/>
        <item x="470"/>
        <item x="70"/>
        <item x="350"/>
        <item x="338"/>
        <item x="119"/>
        <item x="170"/>
        <item x="187"/>
        <item x="143"/>
        <item x="416"/>
        <item x="259"/>
        <item x="398"/>
        <item x="258"/>
        <item x="155"/>
        <item x="390"/>
        <item x="154"/>
        <item x="110"/>
        <item x="92"/>
        <item x="69"/>
        <item x="68"/>
        <item x="109"/>
        <item x="373"/>
        <item x="48"/>
        <item x="91"/>
        <item x="108"/>
        <item x="67"/>
        <item x="267"/>
        <item x="362"/>
        <item x="142"/>
        <item x="372"/>
        <item x="361"/>
        <item x="199"/>
        <item x="107"/>
        <item x="141"/>
        <item x="241"/>
        <item x="47"/>
        <item x="90"/>
        <item x="106"/>
        <item x="186"/>
        <item x="46"/>
        <item x="349"/>
        <item x="66"/>
        <item x="389"/>
        <item x="325"/>
        <item x="257"/>
        <item x="169"/>
        <item x="469"/>
        <item x="140"/>
        <item x="240"/>
        <item x="139"/>
        <item x="65"/>
        <item x="153"/>
        <item x="415"/>
        <item x="291"/>
        <item x="256"/>
        <item x="105"/>
        <item x="239"/>
        <item x="89"/>
        <item x="255"/>
        <item x="238"/>
        <item x="388"/>
        <item x="88"/>
        <item x="45"/>
        <item x="324"/>
        <item x="323"/>
        <item x="64"/>
        <item x="87"/>
        <item x="360"/>
        <item x="311"/>
        <item x="254"/>
        <item x="253"/>
        <item x="337"/>
        <item x="198"/>
        <item x="336"/>
        <item x="222"/>
        <item x="44"/>
        <item x="348"/>
        <item x="310"/>
        <item x="104"/>
        <item x="221"/>
        <item x="387"/>
        <item x="197"/>
        <item x="43"/>
        <item x="279"/>
        <item x="237"/>
        <item x="220"/>
        <item x="219"/>
        <item x="252"/>
        <item x="347"/>
        <item x="86"/>
        <item x="185"/>
        <item x="85"/>
        <item x="218"/>
        <item x="335"/>
        <item x="266"/>
        <item x="236"/>
        <item x="334"/>
        <item x="333"/>
        <item x="217"/>
        <item x="168"/>
        <item x="346"/>
        <item x="84"/>
        <item x="332"/>
        <item x="216"/>
        <item x="235"/>
        <item x="63"/>
        <item x="103"/>
        <item x="138"/>
        <item x="102"/>
        <item x="345"/>
        <item x="427"/>
        <item x="118"/>
        <item x="414"/>
        <item x="278"/>
        <item x="331"/>
        <item x="371"/>
        <item x="215"/>
        <item x="117"/>
        <item x="196"/>
        <item x="83"/>
        <item x="137"/>
        <item x="300"/>
        <item x="359"/>
        <item x="167"/>
        <item x="234"/>
        <item x="386"/>
        <item x="265"/>
        <item x="322"/>
        <item x="251"/>
        <item x="152"/>
        <item x="250"/>
        <item x="385"/>
        <item x="136"/>
        <item x="370"/>
        <item x="290"/>
        <item x="344"/>
        <item x="384"/>
        <item x="277"/>
        <item x="233"/>
        <item x="42"/>
        <item x="151"/>
        <item x="166"/>
        <item x="369"/>
        <item x="289"/>
        <item x="358"/>
        <item x="330"/>
        <item x="299"/>
        <item x="329"/>
        <item x="249"/>
        <item x="321"/>
        <item x="343"/>
        <item x="232"/>
        <item x="320"/>
        <item x="357"/>
        <item x="214"/>
        <item x="195"/>
        <item x="184"/>
        <item x="288"/>
        <item x="368"/>
        <item x="116"/>
        <item x="62"/>
        <item x="342"/>
        <item x="341"/>
        <item x="264"/>
        <item x="135"/>
        <item x="41"/>
        <item x="231"/>
        <item x="248"/>
        <item x="276"/>
        <item x="134"/>
        <item x="230"/>
        <item x="328"/>
        <item x="183"/>
        <item x="247"/>
        <item x="246"/>
        <item x="213"/>
        <item x="101"/>
        <item x="61"/>
        <item x="82"/>
        <item x="81"/>
        <item x="229"/>
        <item x="100"/>
        <item x="60"/>
        <item x="275"/>
        <item x="212"/>
        <item x="99"/>
        <item x="40"/>
        <item x="80"/>
        <item x="39"/>
        <item x="38"/>
        <item x="37"/>
        <item x="19"/>
        <item x="36"/>
        <item x="18"/>
        <item x="17"/>
        <item x="16"/>
        <item x="35"/>
        <item x="34"/>
        <item x="33"/>
        <item x="32"/>
        <item x="31"/>
        <item x="30"/>
        <item x="29"/>
        <item x="15"/>
        <item x="28"/>
        <item x="14"/>
        <item x="13"/>
        <item x="12"/>
        <item x="27"/>
        <item x="11"/>
        <item x="26"/>
        <item x="10"/>
        <item x="25"/>
        <item x="9"/>
        <item x="8"/>
        <item x="7"/>
        <item x="6"/>
        <item x="5"/>
        <item x="24"/>
        <item x="23"/>
        <item x="4"/>
        <item x="22"/>
        <item x="3"/>
        <item x="2"/>
        <item x="21"/>
        <item x="20"/>
        <item x="1"/>
        <item x="0"/>
      </items>
    </pivotField>
    <pivotField dataField="1" showAll="0" defaultSubtotal="0">
      <items count="595">
        <item x="570"/>
        <item x="323"/>
        <item x="560"/>
        <item x="555"/>
        <item x="531"/>
        <item x="439"/>
        <item x="349"/>
        <item x="594"/>
        <item x="563"/>
        <item x="348"/>
        <item x="358"/>
        <item x="494"/>
        <item x="438"/>
        <item x="581"/>
        <item x="501"/>
        <item x="357"/>
        <item x="530"/>
        <item x="468"/>
        <item x="356"/>
        <item x="369"/>
        <item x="524"/>
        <item x="248"/>
        <item x="420"/>
        <item x="449"/>
        <item x="507"/>
        <item x="376"/>
        <item x="368"/>
        <item x="467"/>
        <item x="437"/>
        <item x="562"/>
        <item x="58"/>
        <item x="57"/>
        <item x="106"/>
        <item x="105"/>
        <item x="225"/>
        <item x="19"/>
        <item x="215"/>
        <item x="89"/>
        <item x="238"/>
        <item x="123"/>
        <item x="237"/>
        <item x="477"/>
        <item x="258"/>
        <item x="122"/>
        <item x="331"/>
        <item x="56"/>
        <item x="179"/>
        <item x="18"/>
        <item x="286"/>
        <item x="178"/>
        <item x="430"/>
        <item x="201"/>
        <item x="187"/>
        <item x="236"/>
        <item x="38"/>
        <item x="88"/>
        <item x="200"/>
        <item x="294"/>
        <item x="448"/>
        <item x="293"/>
        <item x="17"/>
        <item x="137"/>
        <item x="16"/>
        <item x="104"/>
        <item x="136"/>
        <item x="103"/>
        <item x="102"/>
        <item x="37"/>
        <item x="235"/>
        <item x="199"/>
        <item x="135"/>
        <item x="36"/>
        <item x="266"/>
        <item x="311"/>
        <item x="74"/>
        <item x="367"/>
        <item x="198"/>
        <item x="87"/>
        <item x="162"/>
        <item x="55"/>
        <item x="54"/>
        <item x="134"/>
        <item x="247"/>
        <item x="285"/>
        <item x="310"/>
        <item x="73"/>
        <item x="411"/>
        <item x="86"/>
        <item x="177"/>
        <item x="121"/>
        <item x="347"/>
        <item x="484"/>
        <item x="186"/>
        <item x="234"/>
        <item x="161"/>
        <item x="85"/>
        <item x="15"/>
        <item x="72"/>
        <item x="120"/>
        <item x="119"/>
        <item x="53"/>
        <item x="214"/>
        <item x="284"/>
        <item x="213"/>
        <item x="212"/>
        <item x="52"/>
        <item x="14"/>
        <item x="506"/>
        <item x="197"/>
        <item x="257"/>
        <item x="276"/>
        <item x="148"/>
        <item x="283"/>
        <item x="176"/>
        <item x="101"/>
        <item x="35"/>
        <item x="175"/>
        <item x="174"/>
        <item x="466"/>
        <item x="84"/>
        <item x="34"/>
        <item x="33"/>
        <item x="71"/>
        <item x="493"/>
        <item x="355"/>
        <item x="559"/>
        <item x="13"/>
        <item x="173"/>
        <item x="172"/>
        <item x="246"/>
        <item x="70"/>
        <item x="51"/>
        <item x="69"/>
        <item x="12"/>
        <item x="50"/>
        <item x="539"/>
        <item x="256"/>
        <item x="32"/>
        <item x="11"/>
        <item x="49"/>
        <item x="224"/>
        <item x="31"/>
        <item x="587"/>
        <item x="100"/>
        <item x="30"/>
        <item x="29"/>
        <item x="330"/>
        <item x="147"/>
        <item x="275"/>
        <item x="99"/>
        <item x="28"/>
        <item x="160"/>
        <item x="304"/>
        <item x="98"/>
        <item x="159"/>
        <item x="303"/>
        <item x="476"/>
        <item x="245"/>
        <item x="118"/>
        <item x="158"/>
        <item x="171"/>
        <item x="10"/>
        <item x="48"/>
        <item x="117"/>
        <item x="68"/>
        <item x="67"/>
        <item x="97"/>
        <item x="170"/>
        <item x="233"/>
        <item x="465"/>
        <item x="475"/>
        <item x="66"/>
        <item x="274"/>
        <item x="394"/>
        <item x="83"/>
        <item x="483"/>
        <item x="447"/>
        <item x="9"/>
        <item x="133"/>
        <item x="116"/>
        <item x="410"/>
        <item x="82"/>
        <item x="429"/>
        <item x="446"/>
        <item x="211"/>
        <item x="255"/>
        <item x="265"/>
        <item x="115"/>
        <item x="47"/>
        <item x="169"/>
        <item x="146"/>
        <item x="132"/>
        <item x="27"/>
        <item x="517"/>
        <item x="232"/>
        <item x="386"/>
        <item x="65"/>
        <item x="26"/>
        <item x="593"/>
        <item x="516"/>
        <item x="8"/>
        <item x="114"/>
        <item x="157"/>
        <item x="131"/>
        <item x="223"/>
        <item x="7"/>
        <item x="46"/>
        <item x="534"/>
        <item x="309"/>
        <item x="523"/>
        <item x="145"/>
        <item x="354"/>
        <item x="144"/>
        <item x="96"/>
        <item x="64"/>
        <item x="385"/>
        <item x="45"/>
        <item x="222"/>
        <item x="366"/>
        <item x="273"/>
        <item x="244"/>
        <item x="346"/>
        <item x="81"/>
        <item x="492"/>
        <item x="464"/>
        <item x="80"/>
        <item x="196"/>
        <item x="365"/>
        <item x="143"/>
        <item x="113"/>
        <item x="6"/>
        <item x="272"/>
        <item x="63"/>
        <item x="95"/>
        <item x="231"/>
        <item x="195"/>
        <item x="25"/>
        <item x="130"/>
        <item x="210"/>
        <item x="282"/>
        <item x="79"/>
        <item x="129"/>
        <item x="168"/>
        <item x="194"/>
        <item x="384"/>
        <item x="193"/>
        <item x="5"/>
        <item x="515"/>
        <item x="264"/>
        <item x="463"/>
        <item x="156"/>
        <item x="44"/>
        <item x="221"/>
        <item x="209"/>
        <item x="338"/>
        <item x="192"/>
        <item x="522"/>
        <item x="302"/>
        <item x="155"/>
        <item x="409"/>
        <item x="575"/>
        <item x="364"/>
        <item x="337"/>
        <item x="436"/>
        <item x="154"/>
        <item x="254"/>
        <item x="462"/>
        <item x="281"/>
        <item x="43"/>
        <item x="514"/>
        <item x="336"/>
        <item x="329"/>
        <item x="153"/>
        <item x="393"/>
        <item x="529"/>
        <item x="208"/>
        <item x="513"/>
        <item x="419"/>
        <item x="292"/>
        <item x="301"/>
        <item x="528"/>
        <item x="428"/>
        <item x="185"/>
        <item x="291"/>
        <item x="94"/>
        <item x="42"/>
        <item x="317"/>
        <item x="142"/>
        <item x="167"/>
        <item x="141"/>
        <item x="402"/>
        <item x="263"/>
        <item x="461"/>
        <item x="191"/>
        <item x="280"/>
        <item x="112"/>
        <item x="93"/>
        <item x="111"/>
        <item x="521"/>
        <item x="544"/>
        <item x="300"/>
        <item x="383"/>
        <item x="427"/>
        <item x="78"/>
        <item x="62"/>
        <item x="418"/>
        <item x="316"/>
        <item x="538"/>
        <item x="345"/>
        <item x="426"/>
        <item x="474"/>
        <item x="408"/>
        <item x="392"/>
        <item x="543"/>
        <item x="375"/>
        <item x="328"/>
        <item x="567"/>
        <item x="425"/>
        <item x="533"/>
        <item x="290"/>
        <item x="152"/>
        <item x="271"/>
        <item x="537"/>
        <item x="505"/>
        <item x="527"/>
        <item x="24"/>
        <item x="382"/>
        <item x="279"/>
        <item x="110"/>
        <item x="299"/>
        <item x="381"/>
        <item x="435"/>
        <item x="253"/>
        <item x="4"/>
        <item x="401"/>
        <item x="491"/>
        <item x="289"/>
        <item x="344"/>
        <item x="128"/>
        <item x="391"/>
        <item x="308"/>
        <item x="490"/>
        <item x="207"/>
        <item x="417"/>
        <item x="322"/>
        <item x="327"/>
        <item x="482"/>
        <item x="400"/>
        <item x="380"/>
        <item x="262"/>
        <item x="445"/>
        <item x="455"/>
        <item x="140"/>
        <item x="270"/>
        <item x="536"/>
        <item x="554"/>
        <item x="444"/>
        <item x="512"/>
        <item x="220"/>
        <item x="574"/>
        <item x="460"/>
        <item x="434"/>
        <item x="353"/>
        <item x="374"/>
        <item x="219"/>
        <item x="548"/>
        <item x="416"/>
        <item x="230"/>
        <item x="489"/>
        <item x="415"/>
        <item x="363"/>
        <item x="390"/>
        <item x="488"/>
        <item x="335"/>
        <item x="399"/>
        <item x="184"/>
        <item x="166"/>
        <item x="407"/>
        <item x="398"/>
        <item x="229"/>
        <item x="321"/>
        <item x="206"/>
        <item x="243"/>
        <item x="500"/>
        <item x="511"/>
        <item x="165"/>
        <item x="362"/>
        <item x="406"/>
        <item x="499"/>
        <item x="127"/>
        <item x="481"/>
        <item x="23"/>
        <item x="315"/>
        <item x="252"/>
        <item x="580"/>
        <item x="443"/>
        <item x="473"/>
        <item x="510"/>
        <item x="553"/>
        <item x="361"/>
        <item x="569"/>
        <item x="547"/>
        <item x="373"/>
        <item x="454"/>
        <item x="472"/>
        <item x="151"/>
        <item x="298"/>
        <item x="487"/>
        <item x="542"/>
        <item x="190"/>
        <item x="242"/>
        <item x="269"/>
        <item x="453"/>
        <item x="424"/>
        <item x="546"/>
        <item x="3"/>
        <item x="126"/>
        <item x="205"/>
        <item x="579"/>
        <item x="2"/>
        <item x="480"/>
        <item x="343"/>
        <item x="558"/>
        <item x="352"/>
        <item x="573"/>
        <item x="520"/>
        <item x="433"/>
        <item x="360"/>
        <item x="498"/>
        <item x="479"/>
        <item x="41"/>
        <item x="459"/>
        <item x="183"/>
        <item x="586"/>
        <item x="519"/>
        <item x="397"/>
        <item x="314"/>
        <item x="22"/>
        <item x="342"/>
        <item x="423"/>
        <item x="297"/>
        <item x="504"/>
        <item x="182"/>
        <item x="351"/>
        <item x="241"/>
        <item x="545"/>
        <item x="541"/>
        <item x="503"/>
        <item x="561"/>
        <item x="307"/>
        <item x="552"/>
        <item x="540"/>
        <item x="334"/>
        <item x="261"/>
        <item x="278"/>
        <item x="228"/>
        <item x="532"/>
        <item x="288"/>
        <item x="497"/>
        <item x="590"/>
        <item x="396"/>
        <item x="389"/>
        <item x="287"/>
        <item x="150"/>
        <item x="313"/>
        <item x="442"/>
        <item x="372"/>
        <item x="326"/>
        <item x="458"/>
        <item x="422"/>
        <item x="471"/>
        <item x="496"/>
        <item x="585"/>
        <item x="204"/>
        <item x="551"/>
        <item x="325"/>
        <item x="61"/>
        <item x="341"/>
        <item x="379"/>
        <item x="371"/>
        <item x="251"/>
        <item x="296"/>
        <item x="478"/>
        <item x="109"/>
        <item x="414"/>
        <item x="139"/>
        <item x="218"/>
        <item x="566"/>
        <item x="405"/>
        <item x="295"/>
        <item x="578"/>
        <item x="324"/>
        <item x="268"/>
        <item x="378"/>
        <item x="203"/>
        <item x="509"/>
        <item x="452"/>
        <item x="413"/>
        <item x="108"/>
        <item x="404"/>
        <item x="470"/>
        <item x="149"/>
        <item x="333"/>
        <item x="388"/>
        <item x="432"/>
        <item x="502"/>
        <item x="267"/>
        <item x="1"/>
        <item x="306"/>
        <item x="189"/>
        <item x="40"/>
        <item x="250"/>
        <item x="508"/>
        <item x="312"/>
        <item x="21"/>
        <item x="181"/>
        <item x="332"/>
        <item x="395"/>
        <item x="277"/>
        <item x="138"/>
        <item x="125"/>
        <item x="217"/>
        <item x="557"/>
        <item x="486"/>
        <item x="451"/>
        <item x="77"/>
        <item x="305"/>
        <item x="495"/>
        <item x="441"/>
        <item x="216"/>
        <item x="359"/>
        <item x="76"/>
        <item x="535"/>
        <item x="260"/>
        <item x="227"/>
        <item x="412"/>
        <item x="340"/>
        <item x="431"/>
        <item x="457"/>
        <item x="92"/>
        <item x="164"/>
        <item x="124"/>
        <item x="320"/>
        <item x="387"/>
        <item x="0"/>
        <item x="440"/>
        <item x="485"/>
        <item x="20"/>
        <item x="377"/>
        <item x="526"/>
        <item x="572"/>
        <item x="550"/>
        <item x="249"/>
        <item x="202"/>
        <item x="240"/>
        <item x="60"/>
        <item x="91"/>
        <item x="188"/>
        <item x="549"/>
        <item x="592"/>
        <item x="403"/>
        <item x="370"/>
        <item x="565"/>
        <item x="450"/>
        <item x="59"/>
        <item x="90"/>
        <item x="259"/>
        <item x="456"/>
        <item x="577"/>
        <item x="421"/>
        <item x="180"/>
        <item x="75"/>
        <item x="469"/>
        <item x="163"/>
        <item x="576"/>
        <item x="589"/>
        <item x="107"/>
        <item x="518"/>
        <item x="339"/>
        <item x="239"/>
        <item x="583"/>
        <item x="226"/>
        <item x="39"/>
        <item x="525"/>
        <item x="556"/>
        <item x="319"/>
        <item x="350"/>
        <item x="318"/>
        <item x="591"/>
        <item x="584"/>
        <item x="564"/>
        <item x="571"/>
        <item x="588"/>
        <item x="582"/>
        <item x="568"/>
      </items>
    </pivotField>
    <pivotField dataField="1" showAll="0" defaultSubtotal="0">
      <items count="329">
        <item x="65"/>
        <item x="66"/>
        <item x="48"/>
        <item x="56"/>
        <item x="55"/>
        <item x="45"/>
        <item x="47"/>
        <item x="44"/>
        <item x="76"/>
        <item x="81"/>
        <item x="147"/>
        <item x="101"/>
        <item x="54"/>
        <item x="137"/>
        <item x="74"/>
        <item x="103"/>
        <item x="46"/>
        <item x="78"/>
        <item x="136"/>
        <item x="60"/>
        <item x="113"/>
        <item x="102"/>
        <item x="63"/>
        <item x="92"/>
        <item x="148"/>
        <item x="127"/>
        <item x="89"/>
        <item x="50"/>
        <item x="269"/>
        <item x="158"/>
        <item x="209"/>
        <item x="199"/>
        <item x="110"/>
        <item x="53"/>
        <item x="314"/>
        <item x="51"/>
        <item x="208"/>
        <item x="258"/>
        <item x="49"/>
        <item x="117"/>
        <item x="322"/>
        <item x="64"/>
        <item x="224"/>
        <item x="79"/>
        <item x="100"/>
        <item x="319"/>
        <item x="232"/>
        <item x="145"/>
        <item x="75"/>
        <item x="37"/>
        <item x="274"/>
        <item x="259"/>
        <item x="296"/>
        <item x="305"/>
        <item x="144"/>
        <item x="114"/>
        <item x="123"/>
        <item x="80"/>
        <item x="104"/>
        <item x="240"/>
        <item x="128"/>
        <item x="107"/>
        <item x="211"/>
        <item x="90"/>
        <item x="291"/>
        <item x="286"/>
        <item x="268"/>
        <item x="138"/>
        <item x="168"/>
        <item x="201"/>
        <item x="77"/>
        <item x="146"/>
        <item x="17"/>
        <item x="67"/>
        <item x="243"/>
        <item x="325"/>
        <item x="292"/>
        <item x="310"/>
        <item x="157"/>
        <item x="171"/>
        <item x="173"/>
        <item x="88"/>
        <item x="189"/>
        <item x="328"/>
        <item x="126"/>
        <item x="283"/>
        <item x="182"/>
        <item x="231"/>
        <item x="172"/>
        <item x="248"/>
        <item x="279"/>
        <item x="301"/>
        <item x="321"/>
        <item x="167"/>
        <item x="324"/>
        <item x="320"/>
        <item x="184"/>
        <item x="193"/>
        <item x="249"/>
        <item x="323"/>
        <item x="154"/>
        <item x="129"/>
        <item x="43"/>
        <item x="91"/>
        <item x="260"/>
        <item x="156"/>
        <item x="112"/>
        <item x="223"/>
        <item x="318"/>
        <item x="230"/>
        <item x="170"/>
        <item x="200"/>
        <item x="295"/>
        <item x="290"/>
        <item x="183"/>
        <item x="261"/>
        <item x="98"/>
        <item x="99"/>
        <item x="71"/>
        <item x="294"/>
        <item x="266"/>
        <item x="316"/>
        <item x="222"/>
        <item x="152"/>
        <item x="115"/>
        <item x="69"/>
        <item x="311"/>
        <item x="163"/>
        <item x="284"/>
        <item x="198"/>
        <item x="267"/>
        <item x="133"/>
        <item x="312"/>
        <item x="308"/>
        <item x="228"/>
        <item x="210"/>
        <item x="59"/>
        <item x="277"/>
        <item x="153"/>
        <item x="96"/>
        <item x="192"/>
        <item x="289"/>
        <item x="121"/>
        <item x="315"/>
        <item x="306"/>
        <item x="132"/>
        <item x="124"/>
        <item x="299"/>
        <item x="36"/>
        <item x="326"/>
        <item x="229"/>
        <item x="143"/>
        <item x="186"/>
        <item x="38"/>
        <item x="215"/>
        <item x="109"/>
        <item x="181"/>
        <item x="122"/>
        <item x="219"/>
        <item x="190"/>
        <item x="52"/>
        <item x="111"/>
        <item x="86"/>
        <item x="309"/>
        <item x="61"/>
        <item x="41"/>
        <item x="257"/>
        <item x="307"/>
        <item x="302"/>
        <item x="250"/>
        <item x="285"/>
        <item x="169"/>
        <item x="134"/>
        <item x="97"/>
        <item x="142"/>
        <item x="317"/>
        <item x="166"/>
        <item x="220"/>
        <item x="327"/>
        <item x="239"/>
        <item x="19"/>
        <item x="293"/>
        <item x="313"/>
        <item x="238"/>
        <item x="278"/>
        <item x="247"/>
        <item x="16"/>
        <item x="276"/>
        <item x="297"/>
        <item x="125"/>
        <item x="264"/>
        <item x="207"/>
        <item x="236"/>
        <item x="226"/>
        <item x="155"/>
        <item x="273"/>
        <item x="135"/>
        <item x="246"/>
        <item x="287"/>
        <item x="116"/>
        <item x="149"/>
        <item x="197"/>
        <item x="33"/>
        <item x="221"/>
        <item x="119"/>
        <item x="298"/>
        <item x="304"/>
        <item x="265"/>
        <item x="227"/>
        <item x="72"/>
        <item x="206"/>
        <item x="270"/>
        <item x="174"/>
        <item x="280"/>
        <item x="62"/>
        <item x="303"/>
        <item x="288"/>
        <item x="234"/>
        <item x="108"/>
        <item x="95"/>
        <item x="14"/>
        <item x="180"/>
        <item x="164"/>
        <item x="275"/>
        <item x="162"/>
        <item x="245"/>
        <item x="254"/>
        <item x="216"/>
        <item x="204"/>
        <item x="151"/>
        <item x="73"/>
        <item x="191"/>
        <item x="179"/>
        <item x="120"/>
        <item x="177"/>
        <item x="256"/>
        <item x="241"/>
        <item x="35"/>
        <item x="205"/>
        <item x="87"/>
        <item x="237"/>
        <item x="300"/>
        <item x="31"/>
        <item x="85"/>
        <item x="255"/>
        <item x="42"/>
        <item x="93"/>
        <item x="214"/>
        <item x="141"/>
        <item x="106"/>
        <item x="196"/>
        <item x="131"/>
        <item x="225"/>
        <item x="217"/>
        <item x="12"/>
        <item x="165"/>
        <item x="15"/>
        <item x="213"/>
        <item x="244"/>
        <item x="150"/>
        <item x="94"/>
        <item x="83"/>
        <item x="251"/>
        <item x="32"/>
        <item x="194"/>
        <item x="185"/>
        <item x="188"/>
        <item x="39"/>
        <item x="28"/>
        <item x="235"/>
        <item x="263"/>
        <item x="218"/>
        <item x="203"/>
        <item x="195"/>
        <item x="282"/>
        <item x="178"/>
        <item x="130"/>
        <item x="212"/>
        <item x="281"/>
        <item x="118"/>
        <item x="272"/>
        <item x="159"/>
        <item x="139"/>
        <item x="187"/>
        <item x="271"/>
        <item x="161"/>
        <item x="242"/>
        <item x="70"/>
        <item x="140"/>
        <item x="253"/>
        <item x="262"/>
        <item x="233"/>
        <item x="58"/>
        <item x="10"/>
        <item x="84"/>
        <item x="176"/>
        <item x="105"/>
        <item x="68"/>
        <item x="252"/>
        <item x="57"/>
        <item x="175"/>
        <item x="202"/>
        <item x="34"/>
        <item x="8"/>
        <item x="27"/>
        <item x="160"/>
        <item x="40"/>
        <item x="82"/>
        <item x="13"/>
        <item x="18"/>
        <item x="30"/>
        <item x="6"/>
        <item x="11"/>
        <item x="29"/>
        <item x="26"/>
        <item x="24"/>
        <item x="9"/>
        <item x="7"/>
        <item x="4"/>
        <item x="25"/>
        <item x="20"/>
        <item x="22"/>
        <item x="5"/>
        <item x="2"/>
        <item x="0"/>
        <item x="23"/>
        <item x="3"/>
        <item x="21"/>
        <item x="1"/>
      </items>
    </pivotField>
    <pivotField dataField="1" showAll="0" defaultSubtotal="0">
      <items count="630">
        <item x="60"/>
        <item x="62"/>
        <item x="104"/>
        <item x="181"/>
        <item x="17"/>
        <item x="44"/>
        <item x="359"/>
        <item x="61"/>
        <item x="256"/>
        <item x="51"/>
        <item x="225"/>
        <item x="88"/>
        <item x="166"/>
        <item x="50"/>
        <item x="360"/>
        <item x="165"/>
        <item x="180"/>
        <item x="19"/>
        <item x="16"/>
        <item x="223"/>
        <item x="43"/>
        <item x="226"/>
        <item x="106"/>
        <item x="72"/>
        <item x="41"/>
        <item x="183"/>
        <item x="14"/>
        <item x="122"/>
        <item x="33"/>
        <item x="428"/>
        <item x="184"/>
        <item x="168"/>
        <item x="85"/>
        <item x="221"/>
        <item x="269"/>
        <item x="56"/>
        <item x="351"/>
        <item x="358"/>
        <item x="12"/>
        <item x="15"/>
        <item x="35"/>
        <item x="31"/>
        <item x="138"/>
        <item x="163"/>
        <item x="117"/>
        <item x="90"/>
        <item x="222"/>
        <item x="74"/>
        <item x="219"/>
        <item x="376"/>
        <item x="84"/>
        <item x="304"/>
        <item x="89"/>
        <item x="55"/>
        <item x="42"/>
        <item x="103"/>
        <item x="32"/>
        <item x="148"/>
        <item x="101"/>
        <item x="268"/>
        <item x="169"/>
        <item x="179"/>
        <item x="36"/>
        <item x="149"/>
        <item x="281"/>
        <item x="28"/>
        <item x="150"/>
        <item x="322"/>
        <item x="91"/>
        <item x="114"/>
        <item x="288"/>
        <item x="10"/>
        <item x="135"/>
        <item x="194"/>
        <item x="209"/>
        <item x="436"/>
        <item x="532"/>
        <item x="314"/>
        <item x="102"/>
        <item x="402"/>
        <item x="471"/>
        <item x="123"/>
        <item x="151"/>
        <item x="255"/>
        <item x="121"/>
        <item x="46"/>
        <item x="328"/>
        <item x="526"/>
        <item x="64"/>
        <item x="182"/>
        <item x="558"/>
        <item x="266"/>
        <item x="469"/>
        <item x="8"/>
        <item x="371"/>
        <item x="356"/>
        <item x="481"/>
        <item x="196"/>
        <item x="311"/>
        <item x="329"/>
        <item x="243"/>
        <item x="246"/>
        <item x="49"/>
        <item x="534"/>
        <item x="618"/>
        <item x="514"/>
        <item x="236"/>
        <item x="59"/>
        <item x="47"/>
        <item x="118"/>
        <item x="75"/>
        <item x="153"/>
        <item x="199"/>
        <item x="559"/>
        <item x="86"/>
        <item x="583"/>
        <item x="245"/>
        <item x="270"/>
        <item x="45"/>
        <item x="427"/>
        <item x="34"/>
        <item x="27"/>
        <item x="437"/>
        <item x="109"/>
        <item x="133"/>
        <item x="71"/>
        <item x="200"/>
        <item x="178"/>
        <item x="162"/>
        <item x="324"/>
        <item x="412"/>
        <item x="13"/>
        <item x="264"/>
        <item x="298"/>
        <item x="234"/>
        <item x="211"/>
        <item x="18"/>
        <item x="195"/>
        <item x="276"/>
        <item x="349"/>
        <item x="490"/>
        <item x="395"/>
        <item x="403"/>
        <item x="472"/>
        <item x="350"/>
        <item x="447"/>
        <item x="130"/>
        <item x="83"/>
        <item x="254"/>
        <item x="76"/>
        <item x="100"/>
        <item x="213"/>
        <item x="136"/>
        <item x="525"/>
        <item x="192"/>
        <item x="139"/>
        <item x="6"/>
        <item x="303"/>
        <item x="566"/>
        <item x="198"/>
        <item x="293"/>
        <item x="315"/>
        <item x="444"/>
        <item x="502"/>
        <item x="167"/>
        <item x="355"/>
        <item x="292"/>
        <item x="454"/>
        <item x="286"/>
        <item x="425"/>
        <item x="280"/>
        <item x="575"/>
        <item x="410"/>
        <item x="305"/>
        <item x="335"/>
        <item x="147"/>
        <item x="212"/>
        <item x="73"/>
        <item x="485"/>
        <item x="399"/>
        <item x="544"/>
        <item x="152"/>
        <item x="445"/>
        <item x="357"/>
        <item x="11"/>
        <item x="252"/>
        <item x="63"/>
        <item x="189"/>
        <item x="323"/>
        <item x="235"/>
        <item x="30"/>
        <item x="154"/>
        <item x="105"/>
        <item x="500"/>
        <item x="217"/>
        <item x="629"/>
        <item x="600"/>
        <item x="277"/>
        <item x="297"/>
        <item x="381"/>
        <item x="621"/>
        <item x="144"/>
        <item x="361"/>
        <item x="134"/>
        <item x="116"/>
        <item x="267"/>
        <item x="332"/>
        <item x="455"/>
        <item x="512"/>
        <item x="426"/>
        <item x="417"/>
        <item x="478"/>
        <item x="377"/>
        <item x="582"/>
        <item x="220"/>
        <item x="282"/>
        <item x="573"/>
        <item x="244"/>
        <item x="524"/>
        <item x="224"/>
        <item x="619"/>
        <item x="609"/>
        <item x="309"/>
        <item x="164"/>
        <item x="446"/>
        <item x="546"/>
        <item x="369"/>
        <item x="348"/>
        <item x="432"/>
        <item x="531"/>
        <item x="119"/>
        <item x="557"/>
        <item x="87"/>
        <item x="480"/>
        <item x="137"/>
        <item x="409"/>
        <item x="507"/>
        <item x="313"/>
        <item x="385"/>
        <item x="210"/>
        <item x="617"/>
        <item x="506"/>
        <item x="476"/>
        <item x="591"/>
        <item x="197"/>
        <item x="495"/>
        <item x="404"/>
        <item x="516"/>
        <item x="333"/>
        <item x="389"/>
        <item x="193"/>
        <item x="177"/>
        <item x="342"/>
        <item x="548"/>
        <item x="370"/>
        <item x="265"/>
        <item x="517"/>
        <item x="604"/>
        <item x="620"/>
        <item x="568"/>
        <item x="68"/>
        <item x="29"/>
        <item x="453"/>
        <item x="233"/>
        <item x="479"/>
        <item x="279"/>
        <item x="40"/>
        <item x="461"/>
        <item x="375"/>
        <item x="128"/>
        <item x="320"/>
        <item x="418"/>
        <item x="556"/>
        <item x="66"/>
        <item x="81"/>
        <item x="347"/>
        <item x="354"/>
        <item x="576"/>
        <item x="511"/>
        <item x="253"/>
        <item x="306"/>
        <item x="541"/>
        <item x="263"/>
        <item x="112"/>
        <item x="529"/>
        <item x="547"/>
        <item x="610"/>
        <item x="470"/>
        <item x="345"/>
        <item x="555"/>
        <item x="115"/>
        <item x="289"/>
        <item x="9"/>
        <item x="141"/>
        <item x="54"/>
        <item x="159"/>
        <item x="394"/>
        <item x="603"/>
        <item x="175"/>
        <item x="434"/>
        <item x="161"/>
        <item x="494"/>
        <item x="127"/>
        <item x="26"/>
        <item x="145"/>
        <item x="98"/>
        <item x="564"/>
        <item x="7"/>
        <item x="509"/>
        <item x="99"/>
        <item x="383"/>
        <item x="533"/>
        <item x="539"/>
        <item x="278"/>
        <item x="390"/>
        <item x="513"/>
        <item x="131"/>
        <item x="468"/>
        <item x="489"/>
        <item x="299"/>
        <item x="590"/>
        <item x="537"/>
        <item x="201"/>
        <item x="408"/>
        <item x="302"/>
        <item x="291"/>
        <item x="334"/>
        <item x="343"/>
        <item x="520"/>
        <item x="380"/>
        <item x="242"/>
        <item x="319"/>
        <item x="331"/>
        <item x="218"/>
        <item x="290"/>
        <item x="190"/>
        <item x="384"/>
        <item x="443"/>
        <item x="251"/>
        <item x="392"/>
        <item x="129"/>
        <item x="563"/>
        <item x="382"/>
        <item x="310"/>
        <item x="24"/>
        <item x="4"/>
        <item x="143"/>
        <item x="327"/>
        <item x="450"/>
        <item x="188"/>
        <item x="158"/>
        <item x="204"/>
        <item x="616"/>
        <item x="287"/>
        <item x="608"/>
        <item x="208"/>
        <item x="173"/>
        <item x="515"/>
        <item x="567"/>
        <item x="393"/>
        <item x="120"/>
        <item x="57"/>
        <item x="230"/>
        <item x="260"/>
        <item x="312"/>
        <item x="95"/>
        <item x="422"/>
        <item x="398"/>
        <item x="321"/>
        <item x="413"/>
        <item x="574"/>
        <item x="411"/>
        <item x="521"/>
        <item x="460"/>
        <item x="231"/>
        <item x="274"/>
        <item x="598"/>
        <item x="415"/>
        <item x="368"/>
        <item x="400"/>
        <item x="491"/>
        <item x="545"/>
        <item x="207"/>
        <item x="344"/>
        <item x="594"/>
        <item x="205"/>
        <item x="486"/>
        <item x="419"/>
        <item x="174"/>
        <item x="540"/>
        <item x="261"/>
        <item x="553"/>
        <item x="522"/>
        <item x="48"/>
        <item x="477"/>
        <item x="551"/>
        <item x="132"/>
        <item x="451"/>
        <item x="146"/>
        <item x="301"/>
        <item x="424"/>
        <item x="38"/>
        <item x="599"/>
        <item x="467"/>
        <item x="110"/>
        <item x="452"/>
        <item x="339"/>
        <item x="475"/>
        <item x="240"/>
        <item x="549"/>
        <item x="275"/>
        <item x="523"/>
        <item x="284"/>
        <item x="113"/>
        <item x="570"/>
        <item x="554"/>
        <item x="346"/>
        <item x="498"/>
        <item x="330"/>
        <item x="429"/>
        <item x="560"/>
        <item x="365"/>
        <item x="294"/>
        <item x="492"/>
        <item x="501"/>
        <item x="125"/>
        <item x="628"/>
        <item x="191"/>
        <item x="581"/>
        <item x="462"/>
        <item x="82"/>
        <item x="97"/>
        <item x="493"/>
        <item x="69"/>
        <item x="499"/>
        <item x="262"/>
        <item x="111"/>
        <item x="80"/>
        <item x="232"/>
        <item x="25"/>
        <item x="5"/>
        <item x="160"/>
        <item x="503"/>
        <item x="465"/>
        <item x="366"/>
        <item x="58"/>
        <item x="247"/>
        <item x="401"/>
        <item x="2"/>
        <item x="442"/>
        <item x="241"/>
        <item x="96"/>
        <item x="414"/>
        <item x="435"/>
        <item x="0"/>
        <item x="577"/>
        <item x="508"/>
        <item x="569"/>
        <item x="433"/>
        <item x="510"/>
        <item x="353"/>
        <item x="20"/>
        <item x="367"/>
        <item x="416"/>
        <item x="108"/>
        <item x="607"/>
        <item x="615"/>
        <item x="300"/>
        <item x="22"/>
        <item x="597"/>
        <item x="407"/>
        <item x="391"/>
        <item x="272"/>
        <item x="441"/>
        <item x="614"/>
        <item x="78"/>
        <item x="176"/>
        <item x="579"/>
        <item x="316"/>
        <item x="70"/>
        <item x="589"/>
        <item x="126"/>
        <item x="562"/>
        <item x="458"/>
        <item x="170"/>
        <item x="572"/>
        <item x="157"/>
        <item x="530"/>
        <item x="273"/>
        <item x="386"/>
        <item x="206"/>
        <item x="580"/>
        <item x="565"/>
        <item x="239"/>
        <item x="459"/>
        <item x="538"/>
        <item x="185"/>
        <item x="94"/>
        <item x="23"/>
        <item x="374"/>
        <item x="587"/>
        <item x="595"/>
        <item x="250"/>
        <item x="187"/>
        <item x="466"/>
        <item x="423"/>
        <item x="440"/>
        <item x="578"/>
        <item x="536"/>
        <item x="571"/>
        <item x="3"/>
        <item x="362"/>
        <item x="259"/>
        <item x="373"/>
        <item x="308"/>
        <item x="505"/>
        <item x="336"/>
        <item x="439"/>
        <item x="627"/>
        <item x="229"/>
        <item x="318"/>
        <item x="552"/>
        <item x="602"/>
        <item x="585"/>
        <item x="519"/>
        <item x="237"/>
        <item x="39"/>
        <item x="257"/>
        <item x="588"/>
        <item x="504"/>
        <item x="379"/>
        <item x="142"/>
        <item x="457"/>
        <item x="285"/>
        <item x="249"/>
        <item x="364"/>
        <item x="172"/>
        <item x="482"/>
        <item x="406"/>
        <item x="586"/>
        <item x="528"/>
        <item x="624"/>
        <item x="295"/>
        <item x="92"/>
        <item x="464"/>
        <item x="626"/>
        <item x="214"/>
        <item x="326"/>
        <item x="421"/>
        <item x="430"/>
        <item x="341"/>
        <item x="296"/>
        <item x="388"/>
        <item x="518"/>
        <item x="216"/>
        <item x="488"/>
        <item x="438"/>
        <item x="449"/>
        <item x="550"/>
        <item x="397"/>
        <item x="561"/>
        <item x="203"/>
        <item x="431"/>
        <item x="484"/>
        <item x="307"/>
        <item x="340"/>
        <item x="227"/>
        <item x="325"/>
        <item x="420"/>
        <item x="497"/>
        <item x="387"/>
        <item x="606"/>
        <item x="483"/>
        <item x="378"/>
        <item x="543"/>
        <item x="363"/>
        <item x="605"/>
        <item x="593"/>
        <item x="463"/>
        <item x="271"/>
        <item x="496"/>
        <item x="317"/>
        <item x="93"/>
        <item x="474"/>
        <item x="487"/>
        <item x="79"/>
        <item x="202"/>
        <item x="155"/>
        <item x="258"/>
        <item x="1"/>
        <item x="352"/>
        <item x="228"/>
        <item x="448"/>
        <item x="248"/>
        <item x="283"/>
        <item x="21"/>
        <item x="124"/>
        <item x="171"/>
        <item x="186"/>
        <item x="215"/>
        <item x="456"/>
        <item x="612"/>
        <item x="156"/>
        <item x="527"/>
        <item x="405"/>
        <item x="140"/>
        <item x="238"/>
        <item x="396"/>
        <item x="67"/>
        <item x="535"/>
        <item x="107"/>
        <item x="473"/>
        <item x="53"/>
        <item x="338"/>
        <item x="584"/>
        <item x="372"/>
        <item x="77"/>
        <item x="625"/>
        <item x="623"/>
        <item x="542"/>
        <item x="65"/>
        <item x="613"/>
        <item x="52"/>
        <item x="601"/>
        <item x="592"/>
        <item x="337"/>
        <item x="611"/>
        <item x="596"/>
        <item x="622"/>
        <item x="37"/>
      </items>
    </pivotField>
    <pivotField dataField="1" showAll="0" defaultSubtotal="0">
      <items count="428">
        <item x="427"/>
        <item x="348"/>
        <item x="347"/>
        <item x="346"/>
        <item x="345"/>
        <item x="339"/>
        <item x="344"/>
        <item x="422"/>
        <item x="310"/>
        <item x="420"/>
        <item x="319"/>
        <item x="418"/>
        <item x="395"/>
        <item x="415"/>
        <item x="423"/>
        <item x="421"/>
        <item x="386"/>
        <item x="389"/>
        <item x="343"/>
        <item x="412"/>
        <item x="375"/>
        <item x="397"/>
        <item x="380"/>
        <item x="388"/>
        <item x="398"/>
        <item x="385"/>
        <item x="381"/>
        <item x="393"/>
        <item x="342"/>
        <item x="396"/>
        <item x="414"/>
        <item x="382"/>
        <item x="390"/>
        <item x="413"/>
        <item x="360"/>
        <item x="403"/>
        <item x="370"/>
        <item x="383"/>
        <item x="371"/>
        <item x="376"/>
        <item x="289"/>
        <item x="363"/>
        <item x="387"/>
        <item x="373"/>
        <item x="366"/>
        <item x="419"/>
        <item x="284"/>
        <item x="291"/>
        <item x="365"/>
        <item x="379"/>
        <item x="411"/>
        <item x="152"/>
        <item x="394"/>
        <item x="402"/>
        <item x="369"/>
        <item x="276"/>
        <item x="377"/>
        <item x="364"/>
        <item x="378"/>
        <item x="286"/>
        <item x="416"/>
        <item x="119"/>
        <item x="281"/>
        <item x="401"/>
        <item x="241"/>
        <item x="285"/>
        <item x="290"/>
        <item x="392"/>
        <item x="249"/>
        <item x="278"/>
        <item x="129"/>
        <item x="180"/>
        <item x="301"/>
        <item x="296"/>
        <item x="426"/>
        <item x="362"/>
        <item x="287"/>
        <item x="199"/>
        <item x="326"/>
        <item x="330"/>
        <item x="250"/>
        <item x="358"/>
        <item x="424"/>
        <item x="409"/>
        <item x="374"/>
        <item x="318"/>
        <item x="282"/>
        <item x="280"/>
        <item x="331"/>
        <item x="159"/>
        <item x="53"/>
        <item x="244"/>
        <item x="130"/>
        <item x="355"/>
        <item x="311"/>
        <item x="417"/>
        <item x="361"/>
        <item x="248"/>
        <item x="162"/>
        <item x="131"/>
        <item x="121"/>
        <item x="173"/>
        <item x="288"/>
        <item x="384"/>
        <item x="198"/>
        <item x="197"/>
        <item x="255"/>
        <item x="117"/>
        <item x="410"/>
        <item x="247"/>
        <item x="67"/>
        <item x="186"/>
        <item x="279"/>
        <item x="161"/>
        <item x="367"/>
        <item x="120"/>
        <item x="151"/>
        <item x="356"/>
        <item x="406"/>
        <item x="196"/>
        <item x="242"/>
        <item x="354"/>
        <item x="329"/>
        <item x="400"/>
        <item x="188"/>
        <item x="102"/>
        <item x="405"/>
        <item x="126"/>
        <item x="183"/>
        <item x="172"/>
        <item x="194"/>
        <item x="273"/>
        <item x="127"/>
        <item x="158"/>
        <item x="283"/>
        <item x="272"/>
        <item x="181"/>
        <item x="368"/>
        <item x="128"/>
        <item x="277"/>
        <item x="246"/>
        <item x="359"/>
        <item x="205"/>
        <item x="308"/>
        <item x="275"/>
        <item x="138"/>
        <item x="245"/>
        <item x="300"/>
        <item x="260"/>
        <item x="256"/>
        <item x="86"/>
        <item x="125"/>
        <item x="268"/>
        <item x="174"/>
        <item x="209"/>
        <item x="262"/>
        <item x="154"/>
        <item x="195"/>
        <item x="332"/>
        <item x="160"/>
        <item x="187"/>
        <item x="323"/>
        <item x="166"/>
        <item x="239"/>
        <item x="257"/>
        <item x="58"/>
        <item x="122"/>
        <item x="57"/>
        <item x="157"/>
        <item x="144"/>
        <item x="299"/>
        <item x="185"/>
        <item x="353"/>
        <item x="271"/>
        <item x="337"/>
        <item x="78"/>
        <item x="171"/>
        <item x="340"/>
        <item x="164"/>
        <item x="123"/>
        <item x="213"/>
        <item x="341"/>
        <item x="270"/>
        <item x="210"/>
        <item x="56"/>
        <item x="212"/>
        <item x="321"/>
        <item x="124"/>
        <item x="238"/>
        <item x="149"/>
        <item x="243"/>
        <item x="177"/>
        <item x="54"/>
        <item x="156"/>
        <item x="112"/>
        <item x="148"/>
        <item x="235"/>
        <item x="193"/>
        <item x="391"/>
        <item x="222"/>
        <item x="236"/>
        <item x="320"/>
        <item x="211"/>
        <item x="155"/>
        <item x="66"/>
        <item x="294"/>
        <item x="292"/>
        <item x="182"/>
        <item x="116"/>
        <item x="184"/>
        <item x="145"/>
        <item x="147"/>
        <item x="269"/>
        <item x="153"/>
        <item x="425"/>
        <item x="170"/>
        <item x="140"/>
        <item x="146"/>
        <item x="313"/>
        <item x="55"/>
        <item x="309"/>
        <item x="169"/>
        <item x="111"/>
        <item x="108"/>
        <item x="76"/>
        <item x="95"/>
        <item x="261"/>
        <item x="338"/>
        <item x="94"/>
        <item x="52"/>
        <item x="110"/>
        <item x="114"/>
        <item x="240"/>
        <item x="351"/>
        <item x="77"/>
        <item x="109"/>
        <item x="74"/>
        <item x="143"/>
        <item x="408"/>
        <item x="295"/>
        <item x="75"/>
        <item x="192"/>
        <item x="307"/>
        <item x="258"/>
        <item x="221"/>
        <item x="92"/>
        <item x="190"/>
        <item x="179"/>
        <item x="324"/>
        <item x="50"/>
        <item x="328"/>
        <item x="168"/>
        <item x="141"/>
        <item x="259"/>
        <item x="327"/>
        <item x="51"/>
        <item x="118"/>
        <item x="99"/>
        <item x="137"/>
        <item x="167"/>
        <item x="233"/>
        <item x="335"/>
        <item x="204"/>
        <item x="357"/>
        <item x="136"/>
        <item x="266"/>
        <item x="70"/>
        <item x="372"/>
        <item x="93"/>
        <item x="107"/>
        <item x="165"/>
        <item x="252"/>
        <item x="85"/>
        <item x="267"/>
        <item x="352"/>
        <item x="49"/>
        <item x="407"/>
        <item x="201"/>
        <item x="73"/>
        <item x="264"/>
        <item x="72"/>
        <item x="254"/>
        <item x="106"/>
        <item x="71"/>
        <item x="325"/>
        <item x="298"/>
        <item x="315"/>
        <item x="48"/>
        <item x="142"/>
        <item x="220"/>
        <item x="69"/>
        <item x="350"/>
        <item x="68"/>
        <item x="176"/>
        <item x="306"/>
        <item x="206"/>
        <item x="234"/>
        <item x="297"/>
        <item x="89"/>
        <item x="91"/>
        <item x="399"/>
        <item x="178"/>
        <item x="115"/>
        <item x="139"/>
        <item x="47"/>
        <item x="191"/>
        <item x="90"/>
        <item x="105"/>
        <item x="104"/>
        <item x="103"/>
        <item x="202"/>
        <item x="265"/>
        <item x="46"/>
        <item x="45"/>
        <item x="230"/>
        <item x="215"/>
        <item x="65"/>
        <item x="216"/>
        <item x="208"/>
        <item x="253"/>
        <item x="336"/>
        <item x="64"/>
        <item x="132"/>
        <item x="42"/>
        <item x="100"/>
        <item x="226"/>
        <item x="232"/>
        <item x="63"/>
        <item x="87"/>
        <item x="88"/>
        <item x="135"/>
        <item x="44"/>
        <item x="231"/>
        <item x="83"/>
        <item x="62"/>
        <item x="203"/>
        <item x="317"/>
        <item x="43"/>
        <item x="404"/>
        <item x="101"/>
        <item x="207"/>
        <item x="219"/>
        <item x="316"/>
        <item x="41"/>
        <item x="305"/>
        <item x="304"/>
        <item x="229"/>
        <item x="274"/>
        <item x="150"/>
        <item x="84"/>
        <item x="218"/>
        <item x="303"/>
        <item x="322"/>
        <item x="349"/>
        <item x="334"/>
        <item x="228"/>
        <item x="163"/>
        <item x="225"/>
        <item x="314"/>
        <item x="82"/>
        <item x="293"/>
        <item x="217"/>
        <item x="227"/>
        <item x="134"/>
        <item x="96"/>
        <item x="237"/>
        <item x="113"/>
        <item x="312"/>
        <item x="98"/>
        <item x="189"/>
        <item x="175"/>
        <item x="263"/>
        <item x="60"/>
        <item x="133"/>
        <item x="333"/>
        <item x="59"/>
        <item x="81"/>
        <item x="39"/>
        <item x="223"/>
        <item x="61"/>
        <item x="40"/>
        <item x="302"/>
        <item x="251"/>
        <item x="200"/>
        <item x="224"/>
        <item x="97"/>
        <item x="79"/>
        <item x="214"/>
        <item x="80"/>
        <item x="24"/>
        <item x="5"/>
        <item x="17"/>
        <item x="28"/>
        <item x="38"/>
        <item x="37"/>
        <item x="25"/>
        <item x="9"/>
        <item x="18"/>
        <item x="35"/>
        <item x="36"/>
        <item x="29"/>
        <item x="33"/>
        <item x="7"/>
        <item x="22"/>
        <item x="15"/>
        <item x="16"/>
        <item x="34"/>
        <item x="11"/>
        <item x="32"/>
        <item x="31"/>
        <item x="13"/>
        <item x="30"/>
        <item x="27"/>
        <item x="14"/>
        <item x="3"/>
        <item x="26"/>
        <item x="12"/>
        <item x="23"/>
        <item x="10"/>
        <item x="20"/>
        <item x="8"/>
        <item x="6"/>
        <item x="4"/>
        <item x="1"/>
        <item x="21"/>
        <item x="2"/>
        <item x="19"/>
        <item x="0"/>
      </items>
    </pivotField>
    <pivotField dataField="1" showAll="0" defaultSubtotal="0">
      <items count="539">
        <item x="510"/>
        <item x="322"/>
        <item x="292"/>
        <item x="303"/>
        <item x="502"/>
        <item x="506"/>
        <item x="131"/>
        <item x="469"/>
        <item x="417"/>
        <item x="516"/>
        <item x="499"/>
        <item x="447"/>
        <item x="52"/>
        <item x="145"/>
        <item x="532"/>
        <item x="402"/>
        <item x="415"/>
        <item x="329"/>
        <item x="449"/>
        <item x="375"/>
        <item x="462"/>
        <item x="161"/>
        <item x="66"/>
        <item x="333"/>
        <item x="170"/>
        <item x="301"/>
        <item x="223"/>
        <item x="491"/>
        <item x="84"/>
        <item x="284"/>
        <item x="381"/>
        <item x="361"/>
        <item x="277"/>
        <item x="24"/>
        <item x="5"/>
        <item x="99"/>
        <item x="319"/>
        <item x="293"/>
        <item x="304"/>
        <item x="455"/>
        <item x="364"/>
        <item x="272"/>
        <item x="450"/>
        <item x="353"/>
        <item x="370"/>
        <item x="255"/>
        <item x="193"/>
        <item x="117"/>
        <item x="181"/>
        <item x="352"/>
        <item x="311"/>
        <item x="313"/>
        <item x="290"/>
        <item x="229"/>
        <item x="431"/>
        <item x="199"/>
        <item x="17"/>
        <item x="441"/>
        <item x="365"/>
        <item x="273"/>
        <item x="263"/>
        <item x="189"/>
        <item x="538"/>
        <item x="166"/>
        <item x="240"/>
        <item x="151"/>
        <item x="236"/>
        <item x="403"/>
        <item x="463"/>
        <item x="205"/>
        <item x="57"/>
        <item x="77"/>
        <item x="242"/>
        <item x="56"/>
        <item x="260"/>
        <item x="354"/>
        <item x="345"/>
        <item x="93"/>
        <item x="201"/>
        <item x="483"/>
        <item x="154"/>
        <item x="92"/>
        <item x="200"/>
        <item x="225"/>
        <item x="404"/>
        <item x="282"/>
        <item x="55"/>
        <item x="323"/>
        <item x="90"/>
        <item x="300"/>
        <item x="215"/>
        <item x="291"/>
        <item x="328"/>
        <item x="28"/>
        <item x="371"/>
        <item x="53"/>
        <item x="65"/>
        <item x="91"/>
        <item x="175"/>
        <item x="347"/>
        <item x="88"/>
        <item x="136"/>
        <item x="9"/>
        <item x="118"/>
        <item x="18"/>
        <item x="130"/>
        <item x="188"/>
        <item x="113"/>
        <item x="153"/>
        <item x="392"/>
        <item x="214"/>
        <item x="251"/>
        <item x="231"/>
        <item x="252"/>
        <item x="139"/>
        <item x="187"/>
        <item x="75"/>
        <item x="171"/>
        <item x="294"/>
        <item x="435"/>
        <item x="111"/>
        <item x="54"/>
        <item x="315"/>
        <item x="106"/>
        <item x="410"/>
        <item x="239"/>
        <item x="37"/>
        <item x="89"/>
        <item x="264"/>
        <item x="135"/>
        <item x="76"/>
        <item x="103"/>
        <item x="241"/>
        <item x="73"/>
        <item x="25"/>
        <item x="51"/>
        <item x="142"/>
        <item x="134"/>
        <item x="7"/>
        <item x="107"/>
        <item x="182"/>
        <item x="249"/>
        <item x="74"/>
        <item x="305"/>
        <item x="150"/>
        <item x="15"/>
        <item x="16"/>
        <item x="270"/>
        <item x="356"/>
        <item x="281"/>
        <item x="165"/>
        <item x="501"/>
        <item x="35"/>
        <item x="36"/>
        <item x="133"/>
        <item x="159"/>
        <item x="351"/>
        <item x="262"/>
        <item x="11"/>
        <item x="126"/>
        <item x="132"/>
        <item x="424"/>
        <item x="461"/>
        <item x="213"/>
        <item x="29"/>
        <item x="116"/>
        <item x="49"/>
        <item x="33"/>
        <item x="386"/>
        <item x="183"/>
        <item x="440"/>
        <item x="86"/>
        <item x="174"/>
        <item x="13"/>
        <item x="50"/>
        <item x="376"/>
        <item x="164"/>
        <item x="69"/>
        <item x="192"/>
        <item x="157"/>
        <item x="407"/>
        <item x="261"/>
        <item x="206"/>
        <item x="395"/>
        <item x="439"/>
        <item x="87"/>
        <item x="14"/>
        <item x="283"/>
        <item x="246"/>
        <item x="432"/>
        <item x="212"/>
        <item x="22"/>
        <item x="105"/>
        <item x="152"/>
        <item x="129"/>
        <item x="448"/>
        <item x="72"/>
        <item x="211"/>
        <item x="307"/>
        <item x="71"/>
        <item x="208"/>
        <item x="168"/>
        <item x="3"/>
        <item x="48"/>
        <item x="70"/>
        <item x="224"/>
        <item x="34"/>
        <item x="149"/>
        <item x="115"/>
        <item x="186"/>
        <item x="250"/>
        <item x="102"/>
        <item x="344"/>
        <item x="334"/>
        <item x="409"/>
        <item x="321"/>
        <item x="350"/>
        <item x="32"/>
        <item x="68"/>
        <item x="456"/>
        <item x="302"/>
        <item x="184"/>
        <item x="127"/>
        <item x="265"/>
        <item x="425"/>
        <item x="172"/>
        <item x="67"/>
        <item x="31"/>
        <item x="173"/>
        <item x="47"/>
        <item x="339"/>
        <item x="124"/>
        <item x="210"/>
        <item x="195"/>
        <item x="271"/>
        <item x="12"/>
        <item x="337"/>
        <item x="85"/>
        <item x="30"/>
        <item x="27"/>
        <item x="163"/>
        <item x="123"/>
        <item x="221"/>
        <item x="185"/>
        <item x="104"/>
        <item x="442"/>
        <item x="534"/>
        <item x="148"/>
        <item x="158"/>
        <item x="475"/>
        <item x="377"/>
        <item x="256"/>
        <item x="82"/>
        <item x="391"/>
        <item x="280"/>
        <item x="488"/>
        <item x="363"/>
        <item x="10"/>
        <item x="495"/>
        <item x="380"/>
        <item x="46"/>
        <item x="101"/>
        <item x="100"/>
        <item x="147"/>
        <item x="406"/>
        <item x="434"/>
        <item x="209"/>
        <item x="468"/>
        <item x="341"/>
        <item x="26"/>
        <item x="114"/>
        <item x="64"/>
        <item x="360"/>
        <item x="146"/>
        <item x="222"/>
        <item x="451"/>
        <item x="238"/>
        <item x="45"/>
        <item x="44"/>
        <item x="190"/>
        <item x="362"/>
        <item x="268"/>
        <item x="128"/>
        <item x="140"/>
        <item x="180"/>
        <item x="254"/>
        <item x="63"/>
        <item x="320"/>
        <item x="203"/>
        <item x="197"/>
        <item x="518"/>
        <item x="143"/>
        <item x="472"/>
        <item x="137"/>
        <item x="83"/>
        <item x="198"/>
        <item x="8"/>
        <item x="162"/>
        <item x="336"/>
        <item x="62"/>
        <item x="276"/>
        <item x="97"/>
        <item x="6"/>
        <item x="446"/>
        <item x="492"/>
        <item x="269"/>
        <item x="297"/>
        <item x="41"/>
        <item x="397"/>
        <item x="155"/>
        <item x="160"/>
        <item x="194"/>
        <item x="125"/>
        <item x="141"/>
        <item x="144"/>
        <item x="23"/>
        <item x="401"/>
        <item x="61"/>
        <item x="237"/>
        <item x="233"/>
        <item x="230"/>
        <item x="490"/>
        <item x="400"/>
        <item x="422"/>
        <item x="4"/>
        <item x="43"/>
        <item x="191"/>
        <item x="247"/>
        <item x="1"/>
        <item x="419"/>
        <item x="430"/>
        <item x="248"/>
        <item x="289"/>
        <item x="259"/>
        <item x="474"/>
        <item x="196"/>
        <item x="493"/>
        <item x="98"/>
        <item x="42"/>
        <item x="342"/>
        <item x="235"/>
        <item x="358"/>
        <item x="308"/>
        <item x="109"/>
        <item x="267"/>
        <item x="20"/>
        <item x="207"/>
        <item x="228"/>
        <item x="479"/>
        <item x="244"/>
        <item x="525"/>
        <item x="312"/>
        <item x="40"/>
        <item x="385"/>
        <item x="423"/>
        <item x="413"/>
        <item x="343"/>
        <item x="119"/>
        <item x="367"/>
        <item x="258"/>
        <item x="383"/>
        <item x="179"/>
        <item x="257"/>
        <item x="81"/>
        <item x="470"/>
        <item x="309"/>
        <item x="390"/>
        <item x="349"/>
        <item x="220"/>
        <item x="369"/>
        <item x="177"/>
        <item x="388"/>
        <item x="420"/>
        <item x="332"/>
        <item x="122"/>
        <item x="279"/>
        <item x="348"/>
        <item x="327"/>
        <item x="509"/>
        <item x="368"/>
        <item x="2"/>
        <item x="227"/>
        <item x="218"/>
        <item x="112"/>
        <item x="169"/>
        <item x="487"/>
        <item x="473"/>
        <item x="416"/>
        <item x="318"/>
        <item x="278"/>
        <item x="359"/>
        <item x="317"/>
        <item x="394"/>
        <item x="505"/>
        <item x="310"/>
        <item x="429"/>
        <item x="21"/>
        <item x="338"/>
        <item x="245"/>
        <item x="331"/>
        <item x="219"/>
        <item x="299"/>
        <item x="389"/>
        <item x="408"/>
        <item x="480"/>
        <item x="500"/>
        <item x="234"/>
        <item x="524"/>
        <item x="504"/>
        <item x="486"/>
        <item x="298"/>
        <item x="438"/>
        <item x="275"/>
        <item x="515"/>
        <item x="340"/>
        <item x="494"/>
        <item x="384"/>
        <item x="374"/>
        <item x="288"/>
        <item x="287"/>
        <item x="467"/>
        <item x="204"/>
        <item x="498"/>
        <item x="478"/>
        <item x="428"/>
        <item x="326"/>
        <item x="512"/>
        <item x="80"/>
        <item x="94"/>
        <item x="379"/>
        <item x="526"/>
        <item x="398"/>
        <item x="110"/>
        <item x="178"/>
        <item x="436"/>
        <item x="460"/>
        <item x="286"/>
        <item x="96"/>
        <item x="459"/>
        <item x="399"/>
        <item x="330"/>
        <item x="482"/>
        <item x="387"/>
        <item x="414"/>
        <item x="373"/>
        <item x="521"/>
        <item x="454"/>
        <item x="477"/>
        <item x="316"/>
        <item x="59"/>
        <item x="58"/>
        <item x="357"/>
        <item x="496"/>
        <item x="266"/>
        <item x="437"/>
        <item x="296"/>
        <item x="536"/>
        <item x="121"/>
        <item x="453"/>
        <item x="497"/>
        <item x="216"/>
        <item x="445"/>
        <item x="412"/>
        <item x="452"/>
        <item x="444"/>
        <item x="426"/>
        <item x="485"/>
        <item x="156"/>
        <item x="466"/>
        <item x="138"/>
        <item x="503"/>
        <item x="60"/>
        <item x="366"/>
        <item x="295"/>
        <item x="513"/>
        <item x="465"/>
        <item x="533"/>
        <item x="38"/>
        <item x="458"/>
        <item x="476"/>
        <item x="120"/>
        <item x="306"/>
        <item x="39"/>
        <item x="378"/>
        <item x="508"/>
        <item x="411"/>
        <item x="78"/>
        <item x="531"/>
        <item x="427"/>
        <item x="443"/>
        <item x="471"/>
        <item x="274"/>
        <item x="537"/>
        <item x="217"/>
        <item x="520"/>
        <item x="457"/>
        <item x="314"/>
        <item x="464"/>
        <item x="484"/>
        <item x="79"/>
        <item x="335"/>
        <item x="481"/>
        <item x="511"/>
        <item x="19"/>
        <item x="0"/>
        <item x="523"/>
        <item x="167"/>
        <item x="405"/>
        <item x="514"/>
        <item x="535"/>
        <item x="95"/>
        <item x="489"/>
        <item x="243"/>
        <item x="253"/>
        <item x="396"/>
        <item x="372"/>
        <item x="528"/>
        <item x="285"/>
        <item x="433"/>
        <item x="382"/>
        <item x="202"/>
        <item x="519"/>
        <item x="108"/>
        <item x="325"/>
        <item x="418"/>
        <item x="176"/>
        <item x="527"/>
        <item x="355"/>
        <item x="393"/>
        <item x="346"/>
        <item x="421"/>
        <item x="226"/>
        <item x="232"/>
        <item x="522"/>
        <item x="507"/>
        <item x="517"/>
        <item x="324"/>
        <item x="530"/>
        <item x="529"/>
      </items>
    </pivotField>
    <pivotField dataField="1" showAll="0" defaultSubtotal="0">
      <items count="20">
        <item x="15"/>
        <item x="3"/>
        <item x="5"/>
        <item x="7"/>
        <item x="4"/>
        <item x="10"/>
        <item x="13"/>
        <item x="19"/>
        <item x="17"/>
        <item x="8"/>
        <item x="1"/>
        <item x="18"/>
        <item x="11"/>
        <item x="14"/>
        <item x="2"/>
        <item x="12"/>
        <item x="0"/>
        <item x="6"/>
        <item x="16"/>
        <item x="9"/>
      </items>
    </pivotField>
  </pivotFields>
  <rowFields count="3">
    <field x="2"/>
    <field x="6"/>
    <field x="5"/>
  </rowFields>
  <rowItems count="1477">
    <i>
      <x/>
    </i>
    <i r="1">
      <x/>
      <x v="46"/>
    </i>
    <i r="1">
      <x v="1"/>
      <x v="53"/>
    </i>
    <i r="1">
      <x v="2"/>
      <x v="49"/>
    </i>
    <i r="1">
      <x v="3"/>
      <x v="55"/>
    </i>
    <i r="1">
      <x v="4"/>
      <x v="42"/>
    </i>
    <i r="1">
      <x v="5"/>
      <x v="59"/>
    </i>
    <i r="1">
      <x v="6"/>
      <x v="1"/>
    </i>
    <i r="1">
      <x v="7"/>
      <x v="40"/>
    </i>
    <i r="1">
      <x v="8"/>
      <x/>
    </i>
    <i r="1">
      <x v="9"/>
      <x v="58"/>
    </i>
    <i r="1">
      <x v="10"/>
      <x v="2"/>
    </i>
    <i r="1">
      <x v="11"/>
      <x v="39"/>
    </i>
    <i r="1">
      <x v="12"/>
      <x v="45"/>
    </i>
    <i r="1">
      <x v="13"/>
      <x v="51"/>
    </i>
    <i r="1">
      <x v="14"/>
      <x v="65"/>
    </i>
    <i r="1">
      <x v="15"/>
      <x v="38"/>
    </i>
    <i r="1">
      <x v="16"/>
      <x v="37"/>
    </i>
    <i r="1">
      <x v="17"/>
      <x v="26"/>
    </i>
    <i r="1">
      <x v="18"/>
      <x v="41"/>
    </i>
    <i r="1">
      <x v="19"/>
      <x v="28"/>
    </i>
    <i t="blank">
      <x/>
    </i>
    <i>
      <x v="1"/>
    </i>
    <i r="1">
      <x/>
      <x v="46"/>
    </i>
    <i r="1">
      <x v="1"/>
      <x v="53"/>
    </i>
    <i r="1">
      <x v="2"/>
      <x v="49"/>
    </i>
    <i r="1">
      <x v="3"/>
      <x v="55"/>
    </i>
    <i r="1">
      <x v="4"/>
      <x v="42"/>
    </i>
    <i r="1">
      <x v="5"/>
      <x v="59"/>
    </i>
    <i r="1">
      <x v="6"/>
      <x v="40"/>
    </i>
    <i r="1">
      <x v="7"/>
      <x v="1"/>
    </i>
    <i r="1">
      <x v="8"/>
      <x/>
    </i>
    <i r="1">
      <x v="9"/>
      <x v="58"/>
    </i>
    <i r="1">
      <x v="10"/>
      <x v="39"/>
    </i>
    <i r="1">
      <x v="11"/>
      <x v="45"/>
    </i>
    <i r="1">
      <x v="12"/>
      <x v="2"/>
    </i>
    <i r="1">
      <x v="13"/>
      <x v="65"/>
    </i>
    <i r="1">
      <x v="14"/>
      <x v="51"/>
    </i>
    <i r="1">
      <x v="15"/>
      <x v="38"/>
    </i>
    <i r="1">
      <x v="16"/>
      <x v="37"/>
    </i>
    <i r="1">
      <x v="17"/>
      <x v="26"/>
    </i>
    <i r="1">
      <x v="18"/>
      <x v="28"/>
    </i>
    <i r="1">
      <x v="19"/>
      <x v="8"/>
    </i>
    <i t="blank">
      <x v="1"/>
    </i>
    <i>
      <x v="2"/>
    </i>
    <i r="1">
      <x/>
      <x v="49"/>
    </i>
    <i r="1">
      <x v="1"/>
      <x v="46"/>
    </i>
    <i r="1">
      <x v="2"/>
      <x v="53"/>
    </i>
    <i r="1">
      <x v="3"/>
      <x v="42"/>
    </i>
    <i r="1">
      <x v="4"/>
      <x v="65"/>
    </i>
    <i r="1">
      <x v="5"/>
      <x v="26"/>
    </i>
    <i r="1">
      <x v="6"/>
      <x v="28"/>
    </i>
    <i r="1">
      <x v="7"/>
      <x v="37"/>
    </i>
    <i r="1">
      <x v="8"/>
      <x v="38"/>
    </i>
    <i r="1">
      <x v="9"/>
      <x v="45"/>
    </i>
    <i r="1">
      <x v="10"/>
      <x v="36"/>
    </i>
    <i r="1">
      <x v="11"/>
      <x v="51"/>
    </i>
    <i r="1">
      <x v="12"/>
      <x v="39"/>
    </i>
    <i r="1">
      <x v="13"/>
      <x v="40"/>
    </i>
    <i r="1">
      <x v="14"/>
      <x v="59"/>
    </i>
    <i r="1">
      <x v="15"/>
      <x v="58"/>
    </i>
    <i r="1">
      <x v="16"/>
      <x v="8"/>
    </i>
    <i r="1">
      <x v="17"/>
      <x v="44"/>
    </i>
    <i r="1">
      <x v="18"/>
      <x v="35"/>
    </i>
    <i r="1">
      <x v="19"/>
      <x v="1"/>
    </i>
    <i t="blank">
      <x v="2"/>
    </i>
    <i>
      <x v="3"/>
    </i>
    <i r="1">
      <x/>
      <x v="49"/>
    </i>
    <i r="1">
      <x v="1"/>
      <x v="53"/>
    </i>
    <i r="1">
      <x v="2"/>
      <x v="46"/>
    </i>
    <i r="1">
      <x v="3"/>
      <x v="42"/>
    </i>
    <i r="1">
      <x v="4"/>
      <x v="65"/>
    </i>
    <i r="1">
      <x v="5"/>
      <x v="38"/>
    </i>
    <i r="1">
      <x v="6"/>
      <x v="35"/>
    </i>
    <i r="1">
      <x v="7"/>
      <x v="55"/>
    </i>
    <i r="1">
      <x v="8"/>
      <x v="59"/>
    </i>
    <i r="1">
      <x v="9"/>
      <x v="34"/>
    </i>
    <i r="1">
      <x v="10"/>
      <x v="45"/>
    </i>
    <i r="1">
      <x v="11"/>
      <x v="39"/>
    </i>
    <i r="1">
      <x v="12"/>
      <x v="36"/>
    </i>
    <i r="1">
      <x v="13"/>
      <x v="37"/>
    </i>
    <i r="1">
      <x v="14"/>
      <x v="26"/>
    </i>
    <i r="1">
      <x v="15"/>
      <x v="40"/>
    </i>
    <i r="1">
      <x v="16"/>
      <x v="8"/>
    </i>
    <i r="1">
      <x v="17"/>
      <x v="51"/>
    </i>
    <i r="1">
      <x v="18"/>
      <x v="28"/>
    </i>
    <i r="1">
      <x v="19"/>
      <x v="58"/>
    </i>
    <i t="blank">
      <x v="3"/>
    </i>
    <i>
      <x v="4"/>
    </i>
    <i r="1">
      <x/>
      <x v="49"/>
    </i>
    <i r="1">
      <x v="1"/>
      <x v="46"/>
    </i>
    <i r="1">
      <x v="2"/>
      <x v="53"/>
    </i>
    <i r="1">
      <x v="3"/>
      <x v="65"/>
    </i>
    <i r="1">
      <x v="4"/>
      <x v="42"/>
    </i>
    <i r="1">
      <x v="5"/>
      <x v="45"/>
    </i>
    <i r="1">
      <x v="6"/>
      <x v="55"/>
    </i>
    <i r="1">
      <x v="7"/>
      <x v="59"/>
    </i>
    <i r="1">
      <x v="8"/>
      <x v="28"/>
    </i>
    <i r="1">
      <x v="9"/>
      <x v="26"/>
    </i>
    <i r="1">
      <x v="10"/>
      <x v="51"/>
    </i>
    <i r="1">
      <x v="11"/>
      <x v="37"/>
    </i>
    <i r="1">
      <x v="12"/>
      <x v="38"/>
    </i>
    <i r="1">
      <x v="13"/>
      <x v="58"/>
    </i>
    <i r="1">
      <x v="14"/>
      <x v="57"/>
    </i>
    <i r="1">
      <x v="15"/>
      <x v="39"/>
    </i>
    <i r="1">
      <x v="16"/>
      <x v="40"/>
    </i>
    <i r="1">
      <x v="17"/>
      <x v="36"/>
    </i>
    <i r="1">
      <x v="18"/>
      <x v="35"/>
    </i>
    <i r="1">
      <x v="19"/>
      <x v="50"/>
    </i>
    <i t="blank">
      <x v="4"/>
    </i>
    <i>
      <x v="5"/>
    </i>
    <i r="1">
      <x/>
      <x v="53"/>
    </i>
    <i r="1">
      <x v="1"/>
      <x v="46"/>
    </i>
    <i r="1">
      <x v="2"/>
      <x v="49"/>
    </i>
    <i r="1">
      <x v="3"/>
      <x v="55"/>
    </i>
    <i r="1">
      <x v="4"/>
      <x v="42"/>
    </i>
    <i r="1">
      <x v="5"/>
      <x v="45"/>
    </i>
    <i r="1">
      <x v="6"/>
      <x v="59"/>
    </i>
    <i r="1">
      <x v="7"/>
      <x v="51"/>
    </i>
    <i r="1">
      <x v="8"/>
      <x v="28"/>
    </i>
    <i r="1">
      <x v="9"/>
      <x v="65"/>
    </i>
    <i r="1">
      <x v="10"/>
      <x v="39"/>
    </i>
    <i r="1">
      <x v="11"/>
      <x v="58"/>
    </i>
    <i r="1">
      <x v="12"/>
      <x v="26"/>
    </i>
    <i r="1">
      <x v="13"/>
      <x v="8"/>
    </i>
    <i r="2">
      <x v="40"/>
    </i>
    <i r="1">
      <x v="15"/>
      <x v="38"/>
    </i>
    <i r="1">
      <x v="16"/>
      <x/>
    </i>
    <i r="1">
      <x v="17"/>
      <x v="1"/>
    </i>
    <i r="1">
      <x v="18"/>
      <x v="56"/>
    </i>
    <i r="1">
      <x v="19"/>
      <x v="2"/>
    </i>
    <i t="blank">
      <x v="5"/>
    </i>
    <i>
      <x v="6"/>
    </i>
    <i r="1">
      <x/>
      <x v="46"/>
    </i>
    <i r="1">
      <x v="1"/>
      <x v="53"/>
    </i>
    <i r="1">
      <x v="2"/>
      <x v="49"/>
    </i>
    <i r="1">
      <x v="3"/>
      <x v="42"/>
    </i>
    <i r="1">
      <x v="4"/>
      <x v="55"/>
    </i>
    <i r="1">
      <x v="5"/>
      <x v="8"/>
    </i>
    <i r="1">
      <x v="6"/>
      <x v="59"/>
    </i>
    <i r="1">
      <x v="7"/>
      <x v="40"/>
    </i>
    <i r="1">
      <x v="8"/>
      <x v="58"/>
    </i>
    <i r="1">
      <x v="9"/>
      <x v="51"/>
    </i>
    <i r="1">
      <x v="10"/>
      <x v="38"/>
    </i>
    <i r="1">
      <x v="11"/>
      <x v="37"/>
    </i>
    <i r="1">
      <x v="12"/>
      <x v="28"/>
    </i>
    <i r="1">
      <x v="13"/>
      <x v="65"/>
    </i>
    <i r="1">
      <x v="14"/>
      <x v="1"/>
    </i>
    <i r="1">
      <x v="15"/>
      <x v="45"/>
    </i>
    <i r="1">
      <x v="16"/>
      <x v="26"/>
    </i>
    <i r="1">
      <x v="17"/>
      <x v="39"/>
    </i>
    <i r="1">
      <x v="18"/>
      <x v="2"/>
    </i>
    <i r="1">
      <x v="19"/>
      <x/>
    </i>
    <i t="blank">
      <x v="6"/>
    </i>
    <i>
      <x v="7"/>
    </i>
    <i r="1">
      <x/>
      <x v="53"/>
    </i>
    <i r="1">
      <x v="1"/>
      <x v="46"/>
    </i>
    <i r="1">
      <x v="2"/>
      <x v="38"/>
    </i>
    <i r="1">
      <x v="3"/>
      <x v="42"/>
    </i>
    <i r="1">
      <x v="4"/>
      <x v="49"/>
    </i>
    <i r="1">
      <x v="5"/>
      <x v="39"/>
    </i>
    <i r="1">
      <x v="6"/>
      <x v="55"/>
    </i>
    <i r="1">
      <x v="7"/>
      <x v="34"/>
    </i>
    <i r="1">
      <x v="8"/>
      <x v="40"/>
    </i>
    <i r="1">
      <x v="9"/>
      <x v="22"/>
    </i>
    <i r="1">
      <x v="10"/>
      <x v="37"/>
    </i>
    <i r="1">
      <x v="11"/>
      <x v="8"/>
    </i>
    <i r="1">
      <x v="12"/>
      <x v="11"/>
    </i>
    <i r="2">
      <x v="59"/>
    </i>
    <i r="1">
      <x v="14"/>
      <x v="1"/>
    </i>
    <i r="1">
      <x v="15"/>
      <x v="2"/>
    </i>
    <i r="1">
      <x v="16"/>
      <x v="36"/>
    </i>
    <i r="1">
      <x v="17"/>
      <x v="65"/>
    </i>
    <i r="1">
      <x v="18"/>
      <x v="45"/>
    </i>
    <i r="1">
      <x v="19"/>
      <x v="51"/>
    </i>
    <i t="blank">
      <x v="7"/>
    </i>
    <i>
      <x v="8"/>
    </i>
    <i r="1">
      <x/>
      <x v="53"/>
    </i>
    <i r="1">
      <x v="1"/>
      <x v="46"/>
    </i>
    <i r="1">
      <x v="2"/>
      <x v="55"/>
    </i>
    <i r="1">
      <x v="3"/>
      <x v="42"/>
    </i>
    <i r="1">
      <x v="4"/>
      <x v="15"/>
    </i>
    <i r="1">
      <x v="5"/>
      <x v="49"/>
    </i>
    <i r="1">
      <x v="6"/>
      <x v="1"/>
    </i>
    <i r="1">
      <x v="7"/>
      <x v="40"/>
    </i>
    <i r="1">
      <x v="8"/>
      <x v="38"/>
    </i>
    <i r="2">
      <x v="59"/>
    </i>
    <i r="1">
      <x v="10"/>
      <x v="8"/>
    </i>
    <i r="1">
      <x v="11"/>
      <x v="5"/>
    </i>
    <i r="1">
      <x v="12"/>
      <x v="36"/>
    </i>
    <i r="1">
      <x v="13"/>
      <x v="2"/>
    </i>
    <i r="1">
      <x v="14"/>
      <x/>
    </i>
    <i r="1">
      <x v="15"/>
      <x v="39"/>
    </i>
    <i r="1">
      <x v="16"/>
      <x v="58"/>
    </i>
    <i r="1">
      <x v="17"/>
      <x v="37"/>
    </i>
    <i r="1">
      <x v="18"/>
      <x v="22"/>
    </i>
    <i r="1">
      <x v="19"/>
      <x v="11"/>
    </i>
    <i t="blank">
      <x v="8"/>
    </i>
    <i>
      <x v="9"/>
    </i>
    <i r="1">
      <x/>
      <x v="53"/>
    </i>
    <i r="1">
      <x v="1"/>
      <x v="46"/>
    </i>
    <i r="1">
      <x v="2"/>
      <x v="55"/>
    </i>
    <i r="1">
      <x v="3"/>
      <x v="42"/>
    </i>
    <i r="1">
      <x v="4"/>
      <x v="8"/>
    </i>
    <i r="1">
      <x v="5"/>
      <x v="49"/>
    </i>
    <i r="1">
      <x v="6"/>
      <x v="40"/>
    </i>
    <i r="1">
      <x v="7"/>
      <x v="1"/>
    </i>
    <i r="1">
      <x v="8"/>
      <x v="59"/>
    </i>
    <i r="1">
      <x v="9"/>
      <x/>
    </i>
    <i r="1">
      <x v="10"/>
      <x v="2"/>
    </i>
    <i r="1">
      <x v="11"/>
      <x v="35"/>
    </i>
    <i r="1">
      <x v="12"/>
      <x v="36"/>
    </i>
    <i r="1">
      <x v="13"/>
      <x v="65"/>
    </i>
    <i r="1">
      <x v="14"/>
      <x v="39"/>
    </i>
    <i r="1">
      <x v="15"/>
      <x v="38"/>
    </i>
    <i r="1">
      <x v="16"/>
      <x v="51"/>
    </i>
    <i r="1">
      <x v="17"/>
      <x v="37"/>
    </i>
    <i r="1">
      <x v="18"/>
      <x v="58"/>
    </i>
    <i r="1">
      <x v="19"/>
      <x v="26"/>
    </i>
    <i t="blank">
      <x v="9"/>
    </i>
    <i>
      <x v="10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 v="59"/>
    </i>
    <i r="1">
      <x v="6"/>
      <x v="40"/>
    </i>
    <i r="1">
      <x v="7"/>
      <x v="1"/>
    </i>
    <i r="1">
      <x v="8"/>
      <x v="45"/>
    </i>
    <i r="1">
      <x v="9"/>
      <x v="2"/>
    </i>
    <i r="1">
      <x v="10"/>
      <x/>
    </i>
    <i r="1">
      <x v="11"/>
      <x v="58"/>
    </i>
    <i r="1">
      <x v="12"/>
      <x v="65"/>
    </i>
    <i r="1">
      <x v="13"/>
      <x v="51"/>
    </i>
    <i r="1">
      <x v="14"/>
      <x v="37"/>
    </i>
    <i r="1">
      <x v="15"/>
      <x v="26"/>
    </i>
    <i r="1">
      <x v="16"/>
      <x v="39"/>
    </i>
    <i r="1">
      <x v="17"/>
      <x v="38"/>
    </i>
    <i r="1">
      <x v="18"/>
      <x v="36"/>
    </i>
    <i r="1">
      <x v="19"/>
      <x v="15"/>
    </i>
    <i t="blank">
      <x v="10"/>
    </i>
    <i>
      <x v="11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 v="39"/>
    </i>
    <i r="1">
      <x v="6"/>
      <x v="59"/>
    </i>
    <i r="1">
      <x v="7"/>
      <x v="40"/>
    </i>
    <i r="1">
      <x v="8"/>
      <x v="58"/>
    </i>
    <i r="1">
      <x v="9"/>
      <x v="51"/>
    </i>
    <i r="1">
      <x v="10"/>
      <x v="45"/>
    </i>
    <i r="1">
      <x v="11"/>
      <x v="65"/>
    </i>
    <i r="1">
      <x v="12"/>
      <x v="28"/>
    </i>
    <i r="1">
      <x v="13"/>
      <x v="1"/>
    </i>
    <i r="1">
      <x v="14"/>
      <x/>
    </i>
    <i r="1">
      <x v="15"/>
      <x v="2"/>
    </i>
    <i r="1">
      <x v="16"/>
      <x v="38"/>
    </i>
    <i r="1">
      <x v="17"/>
      <x v="57"/>
    </i>
    <i r="1">
      <x v="18"/>
      <x v="26"/>
    </i>
    <i r="1">
      <x v="19"/>
      <x v="56"/>
    </i>
    <i t="blank">
      <x v="11"/>
    </i>
    <i>
      <x v="12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15"/>
    </i>
    <i r="1">
      <x v="5"/>
      <x v="40"/>
    </i>
    <i r="1">
      <x v="6"/>
      <x v="59"/>
    </i>
    <i r="1">
      <x v="7"/>
      <x v="1"/>
    </i>
    <i r="1">
      <x v="8"/>
      <x v="49"/>
    </i>
    <i r="1">
      <x v="9"/>
      <x v="2"/>
    </i>
    <i r="1">
      <x v="10"/>
      <x v="17"/>
    </i>
    <i r="1">
      <x v="11"/>
      <x/>
    </i>
    <i r="1">
      <x v="12"/>
      <x v="58"/>
    </i>
    <i r="1">
      <x v="13"/>
      <x v="45"/>
    </i>
    <i r="1">
      <x v="14"/>
      <x v="37"/>
    </i>
    <i r="1">
      <x v="15"/>
      <x v="39"/>
    </i>
    <i r="1">
      <x v="16"/>
      <x v="51"/>
    </i>
    <i r="1">
      <x v="17"/>
      <x v="41"/>
    </i>
    <i r="1">
      <x v="18"/>
      <x v="16"/>
    </i>
    <i r="1">
      <x v="19"/>
      <x v="38"/>
    </i>
    <i t="blank">
      <x v="12"/>
    </i>
    <i>
      <x v="13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 v="59"/>
    </i>
    <i r="1">
      <x v="6"/>
      <x v="58"/>
    </i>
    <i r="1">
      <x v="7"/>
      <x v="40"/>
    </i>
    <i r="1">
      <x v="8"/>
      <x/>
    </i>
    <i r="1">
      <x v="9"/>
      <x v="39"/>
    </i>
    <i r="1">
      <x v="10"/>
      <x v="1"/>
    </i>
    <i r="1">
      <x v="11"/>
      <x v="51"/>
    </i>
    <i r="1">
      <x v="12"/>
      <x v="45"/>
    </i>
    <i r="1">
      <x v="13"/>
      <x v="41"/>
    </i>
    <i r="1">
      <x v="14"/>
      <x v="65"/>
    </i>
    <i r="1">
      <x v="15"/>
      <x v="2"/>
    </i>
    <i r="1">
      <x v="16"/>
      <x v="28"/>
    </i>
    <i r="1">
      <x v="17"/>
      <x v="38"/>
    </i>
    <i r="1">
      <x v="18"/>
      <x v="57"/>
    </i>
    <i r="1">
      <x v="19"/>
      <x v="26"/>
    </i>
    <i t="blank">
      <x v="13"/>
    </i>
    <i>
      <x v="14"/>
    </i>
    <i r="1">
      <x/>
      <x v="49"/>
    </i>
    <i r="1">
      <x v="1"/>
      <x v="46"/>
    </i>
    <i r="1">
      <x v="2"/>
      <x v="53"/>
    </i>
    <i r="1">
      <x v="3"/>
      <x v="55"/>
    </i>
    <i r="1">
      <x v="4"/>
      <x v="39"/>
    </i>
    <i r="1">
      <x v="5"/>
      <x v="42"/>
    </i>
    <i r="1">
      <x v="6"/>
      <x v="45"/>
    </i>
    <i r="1">
      <x v="7"/>
      <x v="51"/>
    </i>
    <i r="1">
      <x v="8"/>
      <x v="28"/>
    </i>
    <i r="1">
      <x v="9"/>
      <x v="65"/>
    </i>
    <i r="1">
      <x v="10"/>
      <x v="59"/>
    </i>
    <i r="1">
      <x v="11"/>
      <x v="58"/>
    </i>
    <i r="1">
      <x v="12"/>
      <x v="26"/>
    </i>
    <i r="1">
      <x v="13"/>
      <x v="34"/>
    </i>
    <i r="1">
      <x v="14"/>
      <x v="57"/>
    </i>
    <i r="1">
      <x v="15"/>
      <x v="40"/>
    </i>
    <i r="1">
      <x v="16"/>
      <x v="38"/>
    </i>
    <i r="1">
      <x v="17"/>
      <x v="27"/>
    </i>
    <i r="1">
      <x v="18"/>
      <x/>
    </i>
    <i r="1">
      <x v="19"/>
      <x v="50"/>
    </i>
    <i t="blank">
      <x v="14"/>
    </i>
    <i>
      <x v="15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 v="59"/>
    </i>
    <i r="1">
      <x v="6"/>
      <x v="40"/>
    </i>
    <i r="1">
      <x v="7"/>
      <x v="1"/>
    </i>
    <i r="1">
      <x v="8"/>
      <x/>
    </i>
    <i r="1">
      <x v="9"/>
      <x v="58"/>
    </i>
    <i r="1">
      <x v="10"/>
      <x v="51"/>
    </i>
    <i r="1">
      <x v="11"/>
      <x v="45"/>
    </i>
    <i r="1">
      <x v="12"/>
      <x v="2"/>
    </i>
    <i r="1">
      <x v="13"/>
      <x v="39"/>
    </i>
    <i r="1">
      <x v="14"/>
      <x v="28"/>
    </i>
    <i r="1">
      <x v="15"/>
      <x v="65"/>
    </i>
    <i r="1">
      <x v="16"/>
      <x v="26"/>
    </i>
    <i r="1">
      <x v="17"/>
      <x v="38"/>
    </i>
    <i r="1">
      <x v="18"/>
      <x v="41"/>
    </i>
    <i r="1">
      <x v="19"/>
      <x v="57"/>
    </i>
    <i t="blank">
      <x v="15"/>
    </i>
    <i>
      <x v="16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 v="59"/>
    </i>
    <i r="1">
      <x v="6"/>
      <x v="58"/>
    </i>
    <i r="1">
      <x v="7"/>
      <x v="40"/>
    </i>
    <i r="1">
      <x v="8"/>
      <x/>
    </i>
    <i r="1">
      <x v="9"/>
      <x v="1"/>
    </i>
    <i r="1">
      <x v="10"/>
      <x v="45"/>
    </i>
    <i r="1">
      <x v="11"/>
      <x v="39"/>
    </i>
    <i r="1">
      <x v="12"/>
      <x v="51"/>
    </i>
    <i r="1">
      <x v="13"/>
      <x v="28"/>
    </i>
    <i r="1">
      <x v="14"/>
      <x v="2"/>
    </i>
    <i r="1">
      <x v="15"/>
      <x v="38"/>
    </i>
    <i r="1">
      <x v="16"/>
      <x v="65"/>
    </i>
    <i r="1">
      <x v="17"/>
      <x v="41"/>
    </i>
    <i r="1">
      <x v="18"/>
      <x v="26"/>
    </i>
    <i r="1">
      <x v="19"/>
      <x v="57"/>
    </i>
    <i t="blank">
      <x v="16"/>
    </i>
    <i>
      <x v="17"/>
    </i>
    <i r="1">
      <x/>
      <x v="46"/>
    </i>
    <i r="1">
      <x v="1"/>
      <x v="53"/>
    </i>
    <i r="1">
      <x v="2"/>
      <x v="49"/>
    </i>
    <i r="1">
      <x v="3"/>
      <x v="55"/>
    </i>
    <i r="1">
      <x v="4"/>
      <x v="42"/>
    </i>
    <i r="1">
      <x v="5"/>
      <x v="59"/>
    </i>
    <i r="1">
      <x v="6"/>
      <x v="39"/>
    </i>
    <i r="1">
      <x v="7"/>
      <x v="45"/>
    </i>
    <i r="1">
      <x v="8"/>
      <x v="40"/>
    </i>
    <i r="1">
      <x v="9"/>
      <x v="58"/>
    </i>
    <i r="1">
      <x v="10"/>
      <x v="51"/>
    </i>
    <i r="1">
      <x v="11"/>
      <x v="1"/>
    </i>
    <i r="1">
      <x v="12"/>
      <x v="65"/>
    </i>
    <i r="1">
      <x v="13"/>
      <x v="2"/>
    </i>
    <i r="1">
      <x v="14"/>
      <x v="26"/>
    </i>
    <i r="1">
      <x v="15"/>
      <x v="38"/>
    </i>
    <i r="1">
      <x v="16"/>
      <x/>
    </i>
    <i r="1">
      <x v="17"/>
      <x v="28"/>
    </i>
    <i r="1">
      <x v="18"/>
      <x v="8"/>
    </i>
    <i r="1">
      <x v="19"/>
      <x v="37"/>
    </i>
    <i t="blank">
      <x v="17"/>
    </i>
    <i>
      <x v="18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40"/>
    </i>
    <i r="1">
      <x v="5"/>
      <x v="59"/>
    </i>
    <i r="1">
      <x v="6"/>
      <x v="49"/>
    </i>
    <i r="1">
      <x v="7"/>
      <x v="1"/>
    </i>
    <i r="1">
      <x v="8"/>
      <x v="2"/>
    </i>
    <i r="1">
      <x v="9"/>
      <x/>
    </i>
    <i r="1">
      <x v="10"/>
      <x v="58"/>
    </i>
    <i r="1">
      <x v="11"/>
      <x v="51"/>
    </i>
    <i r="1">
      <x v="12"/>
      <x v="39"/>
    </i>
    <i r="1">
      <x v="13"/>
      <x v="45"/>
    </i>
    <i r="1">
      <x v="14"/>
      <x v="38"/>
    </i>
    <i r="1">
      <x v="15"/>
      <x v="8"/>
    </i>
    <i r="1">
      <x v="16"/>
      <x v="65"/>
    </i>
    <i r="1">
      <x v="17"/>
      <x v="36"/>
    </i>
    <i r="1">
      <x v="18"/>
      <x v="41"/>
    </i>
    <i r="1">
      <x v="19"/>
      <x v="37"/>
    </i>
    <i t="blank">
      <x v="18"/>
    </i>
    <i>
      <x v="19"/>
    </i>
    <i r="1">
      <x/>
      <x v="53"/>
    </i>
    <i r="1">
      <x v="1"/>
      <x v="46"/>
    </i>
    <i r="1">
      <x v="2"/>
      <x v="55"/>
    </i>
    <i r="1">
      <x v="3"/>
      <x v="42"/>
    </i>
    <i r="1">
      <x v="4"/>
      <x v="40"/>
    </i>
    <i r="1">
      <x v="5"/>
      <x v="1"/>
    </i>
    <i r="1">
      <x v="6"/>
      <x v="8"/>
    </i>
    <i r="1">
      <x v="7"/>
      <x v="15"/>
    </i>
    <i r="1">
      <x v="8"/>
      <x v="59"/>
    </i>
    <i r="1">
      <x v="9"/>
      <x/>
    </i>
    <i r="1">
      <x v="10"/>
      <x v="49"/>
    </i>
    <i r="1">
      <x v="11"/>
      <x v="2"/>
    </i>
    <i r="1">
      <x v="12"/>
      <x v="39"/>
    </i>
    <i r="1">
      <x v="13"/>
      <x v="22"/>
    </i>
    <i r="2">
      <x v="36"/>
    </i>
    <i r="1">
      <x v="15"/>
      <x v="38"/>
    </i>
    <i r="1">
      <x v="16"/>
      <x v="58"/>
    </i>
    <i r="1">
      <x v="17"/>
      <x v="51"/>
    </i>
    <i r="1">
      <x v="18"/>
      <x v="45"/>
    </i>
    <i r="1">
      <x v="19"/>
      <x v="41"/>
    </i>
    <i t="blank">
      <x v="19"/>
    </i>
    <i>
      <x v="20"/>
    </i>
    <i r="1">
      <x/>
      <x v="53"/>
    </i>
    <i r="1">
      <x v="1"/>
      <x v="46"/>
    </i>
    <i r="1">
      <x v="2"/>
      <x v="55"/>
    </i>
    <i r="1">
      <x v="3"/>
      <x v="1"/>
    </i>
    <i r="1">
      <x v="4"/>
      <x v="42"/>
    </i>
    <i r="1">
      <x v="5"/>
      <x v="59"/>
    </i>
    <i r="1">
      <x v="6"/>
      <x v="2"/>
    </i>
    <i r="1">
      <x v="7"/>
      <x/>
    </i>
    <i r="1">
      <x v="8"/>
      <x v="49"/>
    </i>
    <i r="1">
      <x v="9"/>
      <x v="40"/>
    </i>
    <i r="1">
      <x v="10"/>
      <x v="58"/>
    </i>
    <i r="1">
      <x v="11"/>
      <x v="8"/>
    </i>
    <i r="1">
      <x v="12"/>
      <x v="45"/>
    </i>
    <i r="1">
      <x v="13"/>
      <x v="51"/>
    </i>
    <i r="1">
      <x v="14"/>
      <x v="41"/>
    </i>
    <i r="1">
      <x v="15"/>
      <x v="65"/>
    </i>
    <i r="1">
      <x v="16"/>
      <x v="38"/>
    </i>
    <i r="1">
      <x v="17"/>
      <x v="36"/>
    </i>
    <i r="2">
      <x v="37"/>
    </i>
    <i r="1">
      <x v="19"/>
      <x v="39"/>
    </i>
    <i t="blank">
      <x v="20"/>
    </i>
    <i>
      <x v="21"/>
    </i>
    <i r="1">
      <x/>
      <x v="46"/>
    </i>
    <i r="1">
      <x v="1"/>
      <x v="55"/>
    </i>
    <i r="1">
      <x v="2"/>
      <x v="53"/>
    </i>
    <i r="1">
      <x v="3"/>
      <x v="1"/>
    </i>
    <i r="1">
      <x v="4"/>
      <x/>
    </i>
    <i r="1">
      <x v="5"/>
      <x v="2"/>
    </i>
    <i r="1">
      <x v="6"/>
      <x v="49"/>
    </i>
    <i r="1">
      <x v="7"/>
      <x v="59"/>
    </i>
    <i r="1">
      <x v="8"/>
      <x v="58"/>
    </i>
    <i r="1">
      <x v="9"/>
      <x v="42"/>
    </i>
    <i r="1">
      <x v="10"/>
      <x v="40"/>
    </i>
    <i r="1">
      <x v="11"/>
      <x v="51"/>
    </i>
    <i r="1">
      <x v="12"/>
      <x v="45"/>
    </i>
    <i r="1">
      <x v="13"/>
      <x v="41"/>
    </i>
    <i r="1">
      <x v="14"/>
      <x v="65"/>
    </i>
    <i r="1">
      <x v="15"/>
      <x v="29"/>
    </i>
    <i r="1">
      <x v="16"/>
      <x v="39"/>
    </i>
    <i r="1">
      <x v="17"/>
      <x v="38"/>
    </i>
    <i r="1">
      <x v="18"/>
      <x v="26"/>
    </i>
    <i r="1">
      <x v="19"/>
      <x v="28"/>
    </i>
    <i t="blank">
      <x v="21"/>
    </i>
    <i>
      <x v="22"/>
    </i>
    <i r="1">
      <x/>
      <x v="46"/>
    </i>
    <i r="1">
      <x v="1"/>
      <x v="53"/>
    </i>
    <i r="1">
      <x v="2"/>
      <x v="55"/>
    </i>
    <i r="1">
      <x v="3"/>
      <x v="1"/>
    </i>
    <i r="1">
      <x v="4"/>
      <x v="42"/>
    </i>
    <i r="1">
      <x v="5"/>
      <x v="2"/>
    </i>
    <i r="1">
      <x v="6"/>
      <x/>
    </i>
    <i r="1">
      <x v="7"/>
      <x v="40"/>
    </i>
    <i r="1">
      <x v="8"/>
      <x v="59"/>
    </i>
    <i r="1">
      <x v="9"/>
      <x v="15"/>
    </i>
    <i r="1">
      <x v="10"/>
      <x v="29"/>
    </i>
    <i r="1">
      <x v="11"/>
      <x v="49"/>
    </i>
    <i r="1">
      <x v="12"/>
      <x v="41"/>
    </i>
    <i r="1">
      <x v="13"/>
      <x v="58"/>
    </i>
    <i r="1">
      <x v="14"/>
      <x v="38"/>
    </i>
    <i r="1">
      <x v="15"/>
      <x v="36"/>
    </i>
    <i r="1">
      <x v="16"/>
      <x v="39"/>
    </i>
    <i r="1">
      <x v="17"/>
      <x v="45"/>
    </i>
    <i r="1">
      <x v="18"/>
      <x v="11"/>
    </i>
    <i r="1">
      <x v="19"/>
      <x v="37"/>
    </i>
    <i t="blank">
      <x v="22"/>
    </i>
    <i>
      <x v="23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15"/>
    </i>
    <i r="1">
      <x v="5"/>
      <x v="1"/>
    </i>
    <i r="1">
      <x v="6"/>
      <x v="40"/>
    </i>
    <i r="1">
      <x v="7"/>
      <x v="59"/>
    </i>
    <i r="1">
      <x v="8"/>
      <x/>
    </i>
    <i r="1">
      <x v="9"/>
      <x v="2"/>
    </i>
    <i r="1">
      <x v="10"/>
      <x v="49"/>
    </i>
    <i r="1">
      <x v="11"/>
      <x v="58"/>
    </i>
    <i r="1">
      <x v="12"/>
      <x v="22"/>
    </i>
    <i r="1">
      <x v="13"/>
      <x v="39"/>
    </i>
    <i r="1">
      <x v="14"/>
      <x v="38"/>
    </i>
    <i r="1">
      <x v="15"/>
      <x v="45"/>
    </i>
    <i r="1">
      <x v="16"/>
      <x v="41"/>
    </i>
    <i r="1">
      <x v="17"/>
      <x v="17"/>
    </i>
    <i r="1">
      <x v="18"/>
      <x v="10"/>
    </i>
    <i r="1">
      <x v="19"/>
      <x v="37"/>
    </i>
    <i t="blank">
      <x v="23"/>
    </i>
    <i>
      <x v="24"/>
    </i>
    <i r="1">
      <x/>
      <x v="46"/>
    </i>
    <i r="1">
      <x v="1"/>
      <x v="55"/>
    </i>
    <i r="1">
      <x v="2"/>
      <x v="53"/>
    </i>
    <i r="1">
      <x v="3"/>
      <x v="1"/>
    </i>
    <i r="1">
      <x v="4"/>
      <x v="42"/>
    </i>
    <i r="1">
      <x v="5"/>
      <x v="2"/>
    </i>
    <i r="1">
      <x v="6"/>
      <x/>
    </i>
    <i r="1">
      <x v="7"/>
      <x v="59"/>
    </i>
    <i r="1">
      <x v="8"/>
      <x v="15"/>
    </i>
    <i r="1">
      <x v="9"/>
      <x v="40"/>
    </i>
    <i r="1">
      <x v="10"/>
      <x v="41"/>
    </i>
    <i r="1">
      <x v="11"/>
      <x v="49"/>
    </i>
    <i r="1">
      <x v="12"/>
      <x v="45"/>
    </i>
    <i r="1">
      <x v="13"/>
      <x v="58"/>
    </i>
    <i r="1">
      <x v="14"/>
      <x v="29"/>
    </i>
    <i r="1">
      <x v="15"/>
      <x v="36"/>
    </i>
    <i r="1">
      <x v="16"/>
      <x v="38"/>
    </i>
    <i r="1">
      <x v="17"/>
      <x v="5"/>
    </i>
    <i r="1">
      <x v="18"/>
      <x v="51"/>
    </i>
    <i r="1">
      <x v="19"/>
      <x v="37"/>
    </i>
    <i t="blank">
      <x v="24"/>
    </i>
    <i>
      <x v="25"/>
    </i>
    <i r="1">
      <x/>
      <x v="39"/>
    </i>
    <i r="1">
      <x v="1"/>
      <x v="53"/>
    </i>
    <i r="1">
      <x v="2"/>
      <x v="42"/>
    </i>
    <i r="1">
      <x v="3"/>
      <x v="55"/>
    </i>
    <i r="1">
      <x v="4"/>
      <x v="38"/>
    </i>
    <i r="1">
      <x v="5"/>
      <x v="34"/>
    </i>
    <i r="2">
      <x v="56"/>
    </i>
    <i r="1">
      <x v="7"/>
      <x v="46"/>
    </i>
    <i r="1">
      <x v="8"/>
      <x v="28"/>
    </i>
    <i r="2">
      <x v="37"/>
    </i>
    <i r="2">
      <x v="40"/>
    </i>
    <i r="2">
      <x v="44"/>
    </i>
    <i r="2">
      <x v="45"/>
    </i>
    <i r="2">
      <x v="49"/>
    </i>
    <i r="2">
      <x v="58"/>
    </i>
    <i r="2">
      <x v="63"/>
    </i>
    <i r="2">
      <x v="65"/>
    </i>
    <i r="1">
      <x v="17"/>
      <x/>
    </i>
    <i r="2">
      <x v="2"/>
    </i>
    <i r="2">
      <x v="9"/>
    </i>
    <i r="2">
      <x v="14"/>
    </i>
    <i r="2">
      <x v="18"/>
    </i>
    <i r="2">
      <x v="27"/>
    </i>
    <i r="2">
      <x v="30"/>
    </i>
    <i r="2">
      <x v="43"/>
    </i>
    <i r="2">
      <x v="51"/>
    </i>
    <i r="2">
      <x v="54"/>
    </i>
    <i r="2">
      <x v="57"/>
    </i>
    <i r="2">
      <x v="59"/>
    </i>
    <i t="blank">
      <x v="25"/>
    </i>
    <i>
      <x v="26"/>
    </i>
    <i r="1">
      <x/>
      <x v="46"/>
    </i>
    <i r="1">
      <x v="1"/>
      <x v="53"/>
    </i>
    <i r="1">
      <x v="2"/>
      <x v="55"/>
    </i>
    <i r="1">
      <x v="3"/>
      <x/>
    </i>
    <i r="1">
      <x v="4"/>
      <x v="1"/>
    </i>
    <i r="1">
      <x v="5"/>
      <x v="42"/>
    </i>
    <i r="1">
      <x v="6"/>
      <x v="2"/>
    </i>
    <i r="1">
      <x v="7"/>
      <x v="58"/>
    </i>
    <i r="1">
      <x v="8"/>
      <x v="49"/>
    </i>
    <i r="2">
      <x v="59"/>
    </i>
    <i r="1">
      <x v="10"/>
      <x v="40"/>
    </i>
    <i r="1">
      <x v="11"/>
      <x v="41"/>
    </i>
    <i r="1">
      <x v="12"/>
      <x v="51"/>
    </i>
    <i r="1">
      <x v="13"/>
      <x v="45"/>
    </i>
    <i r="1">
      <x v="14"/>
      <x v="39"/>
    </i>
    <i r="1">
      <x v="15"/>
      <x v="37"/>
    </i>
    <i r="1">
      <x v="16"/>
      <x v="60"/>
    </i>
    <i r="1">
      <x v="17"/>
      <x v="65"/>
    </i>
    <i r="1">
      <x v="18"/>
      <x v="56"/>
    </i>
    <i r="1">
      <x v="19"/>
      <x v="38"/>
    </i>
    <i t="blank">
      <x v="26"/>
    </i>
    <i>
      <x v="27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49"/>
    </i>
    <i r="1">
      <x v="5"/>
      <x/>
    </i>
    <i r="1">
      <x v="6"/>
      <x v="59"/>
    </i>
    <i r="1">
      <x v="7"/>
      <x v="40"/>
    </i>
    <i r="2">
      <x v="58"/>
    </i>
    <i r="1">
      <x v="9"/>
      <x v="1"/>
    </i>
    <i r="1">
      <x v="10"/>
      <x v="2"/>
    </i>
    <i r="1">
      <x v="11"/>
      <x v="39"/>
    </i>
    <i r="1">
      <x v="12"/>
      <x v="51"/>
    </i>
    <i r="1">
      <x v="13"/>
      <x v="45"/>
    </i>
    <i r="1">
      <x v="14"/>
      <x v="65"/>
    </i>
    <i r="1">
      <x v="15"/>
      <x v="37"/>
    </i>
    <i r="1">
      <x v="16"/>
      <x v="41"/>
    </i>
    <i r="1">
      <x v="17"/>
      <x v="26"/>
    </i>
    <i r="1">
      <x v="18"/>
      <x v="60"/>
    </i>
    <i r="1">
      <x v="19"/>
      <x v="38"/>
    </i>
    <i t="blank">
      <x v="27"/>
    </i>
    <i>
      <x v="28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49"/>
    </i>
    <i r="1">
      <x v="5"/>
      <x v="59"/>
    </i>
    <i r="1">
      <x v="6"/>
      <x v="58"/>
    </i>
    <i r="1">
      <x v="7"/>
      <x v="39"/>
    </i>
    <i r="1">
      <x v="8"/>
      <x v="45"/>
    </i>
    <i r="1">
      <x v="9"/>
      <x v="40"/>
    </i>
    <i r="1">
      <x v="10"/>
      <x/>
    </i>
    <i r="1">
      <x v="11"/>
      <x v="51"/>
    </i>
    <i r="1">
      <x v="12"/>
      <x v="65"/>
    </i>
    <i r="1">
      <x v="13"/>
      <x v="28"/>
    </i>
    <i r="1">
      <x v="14"/>
      <x v="26"/>
    </i>
    <i r="1">
      <x v="15"/>
      <x v="1"/>
    </i>
    <i r="1">
      <x v="16"/>
      <x v="56"/>
    </i>
    <i r="1">
      <x v="17"/>
      <x v="41"/>
    </i>
    <i r="1">
      <x v="18"/>
      <x v="2"/>
    </i>
    <i r="1">
      <x v="19"/>
      <x v="60"/>
    </i>
    <i t="blank">
      <x v="28"/>
    </i>
    <i>
      <x v="29"/>
    </i>
    <i r="1">
      <x/>
      <x v="46"/>
    </i>
    <i r="1">
      <x v="1"/>
      <x v="53"/>
    </i>
    <i r="1">
      <x v="2"/>
      <x v="55"/>
    </i>
    <i r="1">
      <x v="3"/>
      <x/>
    </i>
    <i r="1">
      <x v="4"/>
      <x v="49"/>
    </i>
    <i r="1">
      <x v="5"/>
      <x v="1"/>
    </i>
    <i r="1">
      <x v="6"/>
      <x v="42"/>
    </i>
    <i r="1">
      <x v="7"/>
      <x v="59"/>
    </i>
    <i r="1">
      <x v="8"/>
      <x v="58"/>
    </i>
    <i r="1">
      <x v="9"/>
      <x v="40"/>
    </i>
    <i r="1">
      <x v="10"/>
      <x v="60"/>
    </i>
    <i r="1">
      <x v="11"/>
      <x v="2"/>
    </i>
    <i r="1">
      <x v="12"/>
      <x v="51"/>
    </i>
    <i r="1">
      <x v="13"/>
      <x v="45"/>
    </i>
    <i r="1">
      <x v="14"/>
      <x v="65"/>
    </i>
    <i r="1">
      <x v="15"/>
      <x v="26"/>
    </i>
    <i r="1">
      <x v="16"/>
      <x v="29"/>
    </i>
    <i r="1">
      <x v="17"/>
      <x v="41"/>
    </i>
    <i r="1">
      <x v="18"/>
      <x v="39"/>
    </i>
    <i r="1">
      <x v="19"/>
      <x v="36"/>
    </i>
    <i r="2">
      <x v="37"/>
    </i>
    <i t="blank">
      <x v="29"/>
    </i>
    <i>
      <x v="30"/>
    </i>
    <i r="1">
      <x/>
      <x v="53"/>
    </i>
    <i r="1">
      <x v="1"/>
      <x v="55"/>
    </i>
    <i r="1">
      <x v="2"/>
      <x/>
    </i>
    <i r="1">
      <x v="3"/>
      <x v="46"/>
    </i>
    <i r="1">
      <x v="4"/>
      <x v="1"/>
    </i>
    <i r="1">
      <x v="5"/>
      <x v="42"/>
    </i>
    <i r="1">
      <x v="6"/>
      <x v="40"/>
    </i>
    <i r="1">
      <x v="7"/>
      <x v="2"/>
    </i>
    <i r="1">
      <x v="8"/>
      <x v="58"/>
    </i>
    <i r="1">
      <x v="9"/>
      <x v="59"/>
    </i>
    <i r="1">
      <x v="10"/>
      <x v="41"/>
    </i>
    <i r="1">
      <x v="11"/>
      <x v="49"/>
    </i>
    <i r="1">
      <x v="12"/>
      <x v="51"/>
    </i>
    <i r="1">
      <x v="13"/>
      <x v="17"/>
    </i>
    <i r="1">
      <x v="14"/>
      <x v="15"/>
    </i>
    <i r="1">
      <x v="15"/>
      <x v="39"/>
    </i>
    <i r="1">
      <x v="16"/>
      <x v="62"/>
    </i>
    <i r="1">
      <x v="17"/>
      <x v="56"/>
    </i>
    <i r="1">
      <x v="18"/>
      <x v="60"/>
    </i>
    <i r="1">
      <x v="19"/>
      <x v="10"/>
    </i>
    <i t="blank">
      <x v="30"/>
    </i>
    <i>
      <x v="31"/>
    </i>
    <i r="1">
      <x/>
      <x v="46"/>
    </i>
    <i r="1">
      <x v="1"/>
      <x v="53"/>
    </i>
    <i r="1">
      <x v="2"/>
      <x v="55"/>
    </i>
    <i r="1">
      <x v="3"/>
      <x v="1"/>
    </i>
    <i r="1">
      <x v="4"/>
      <x v="42"/>
    </i>
    <i r="1">
      <x v="5"/>
      <x/>
    </i>
    <i r="1">
      <x v="6"/>
      <x v="2"/>
    </i>
    <i r="1">
      <x v="7"/>
      <x v="59"/>
    </i>
    <i r="1">
      <x v="8"/>
      <x v="49"/>
    </i>
    <i r="1">
      <x v="9"/>
      <x v="58"/>
    </i>
    <i r="1">
      <x v="10"/>
      <x v="40"/>
    </i>
    <i r="1">
      <x v="11"/>
      <x v="51"/>
    </i>
    <i r="1">
      <x v="12"/>
      <x v="45"/>
    </i>
    <i r="1">
      <x v="13"/>
      <x v="41"/>
    </i>
    <i r="1">
      <x v="14"/>
      <x v="26"/>
    </i>
    <i r="1">
      <x v="15"/>
      <x v="38"/>
    </i>
    <i r="1">
      <x v="16"/>
      <x v="65"/>
    </i>
    <i r="1">
      <x v="17"/>
      <x v="56"/>
    </i>
    <i r="1">
      <x v="18"/>
      <x v="60"/>
    </i>
    <i r="1">
      <x v="19"/>
      <x v="37"/>
    </i>
    <i t="blank">
      <x v="31"/>
    </i>
    <i>
      <x v="32"/>
    </i>
    <i r="1">
      <x/>
      <x v="53"/>
    </i>
    <i r="1">
      <x v="1"/>
      <x v="55"/>
    </i>
    <i r="1">
      <x v="2"/>
      <x v="46"/>
    </i>
    <i r="1">
      <x v="3"/>
      <x v="1"/>
    </i>
    <i r="1">
      <x v="4"/>
      <x/>
    </i>
    <i r="1">
      <x v="5"/>
      <x v="58"/>
    </i>
    <i r="1">
      <x v="6"/>
      <x v="42"/>
    </i>
    <i r="1">
      <x v="7"/>
      <x v="59"/>
    </i>
    <i r="1">
      <x v="8"/>
      <x v="40"/>
    </i>
    <i r="1">
      <x v="9"/>
      <x v="49"/>
    </i>
    <i r="1">
      <x v="10"/>
      <x v="2"/>
    </i>
    <i r="1">
      <x v="11"/>
      <x v="41"/>
    </i>
    <i r="1">
      <x v="12"/>
      <x v="45"/>
    </i>
    <i r="1">
      <x v="13"/>
      <x v="15"/>
    </i>
    <i r="1">
      <x v="14"/>
      <x v="56"/>
    </i>
    <i r="1">
      <x v="15"/>
      <x v="51"/>
    </i>
    <i r="1">
      <x v="16"/>
      <x v="39"/>
    </i>
    <i r="1">
      <x v="17"/>
      <x v="37"/>
    </i>
    <i r="1">
      <x v="18"/>
      <x v="38"/>
    </i>
    <i r="1">
      <x v="19"/>
      <x v="60"/>
    </i>
    <i t="blank">
      <x v="32"/>
    </i>
    <i>
      <x v="33"/>
    </i>
    <i r="1">
      <x/>
      <x v="46"/>
    </i>
    <i r="1">
      <x v="1"/>
      <x v="53"/>
    </i>
    <i r="1">
      <x v="2"/>
      <x v="55"/>
    </i>
    <i r="1">
      <x v="3"/>
      <x v="49"/>
    </i>
    <i r="1">
      <x v="4"/>
      <x v="42"/>
    </i>
    <i r="1">
      <x v="5"/>
      <x/>
    </i>
    <i r="1">
      <x v="6"/>
      <x v="59"/>
    </i>
    <i r="1">
      <x v="7"/>
      <x v="1"/>
    </i>
    <i r="2">
      <x v="58"/>
    </i>
    <i r="1">
      <x v="9"/>
      <x v="40"/>
    </i>
    <i r="1">
      <x v="10"/>
      <x v="2"/>
    </i>
    <i r="1">
      <x v="11"/>
      <x v="39"/>
    </i>
    <i r="1">
      <x v="12"/>
      <x v="51"/>
    </i>
    <i r="1">
      <x v="13"/>
      <x v="45"/>
    </i>
    <i r="1">
      <x v="14"/>
      <x v="65"/>
    </i>
    <i r="1">
      <x v="15"/>
      <x v="41"/>
    </i>
    <i r="1">
      <x v="16"/>
      <x v="26"/>
    </i>
    <i r="1">
      <x v="17"/>
      <x v="38"/>
    </i>
    <i r="1">
      <x v="18"/>
      <x v="56"/>
    </i>
    <i r="1">
      <x v="19"/>
      <x v="37"/>
    </i>
    <i t="blank">
      <x v="33"/>
    </i>
    <i>
      <x v="34"/>
    </i>
    <i r="1">
      <x/>
      <x v="46"/>
    </i>
    <i r="1">
      <x v="1"/>
      <x v="55"/>
    </i>
    <i r="1">
      <x v="2"/>
      <x v="53"/>
    </i>
    <i r="1">
      <x v="3"/>
      <x/>
    </i>
    <i r="1">
      <x v="4"/>
      <x v="42"/>
    </i>
    <i r="1">
      <x v="5"/>
      <x v="1"/>
    </i>
    <i r="1">
      <x v="6"/>
      <x v="58"/>
    </i>
    <i r="1">
      <x v="7"/>
      <x v="49"/>
    </i>
    <i r="1">
      <x v="8"/>
      <x v="59"/>
    </i>
    <i r="1">
      <x v="9"/>
      <x v="2"/>
    </i>
    <i r="1">
      <x v="10"/>
      <x v="51"/>
    </i>
    <i r="1">
      <x v="11"/>
      <x v="40"/>
    </i>
    <i r="1">
      <x v="12"/>
      <x v="39"/>
    </i>
    <i r="1">
      <x v="13"/>
      <x v="41"/>
    </i>
    <i r="1">
      <x v="14"/>
      <x v="45"/>
    </i>
    <i r="1">
      <x v="15"/>
      <x v="56"/>
    </i>
    <i r="1">
      <x v="16"/>
      <x v="26"/>
    </i>
    <i r="1">
      <x v="17"/>
      <x v="37"/>
    </i>
    <i r="1">
      <x v="18"/>
      <x v="60"/>
    </i>
    <i r="1">
      <x v="19"/>
      <x v="65"/>
    </i>
    <i t="blank">
      <x v="34"/>
    </i>
    <i>
      <x v="35"/>
    </i>
    <i r="1">
      <x/>
      <x v="46"/>
    </i>
    <i r="1">
      <x v="1"/>
      <x v="53"/>
    </i>
    <i r="1">
      <x v="2"/>
      <x v="55"/>
    </i>
    <i r="1">
      <x v="3"/>
      <x v="42"/>
    </i>
    <i r="2">
      <x v="59"/>
    </i>
    <i r="1">
      <x v="5"/>
      <x v="49"/>
    </i>
    <i r="1">
      <x v="6"/>
      <x v="58"/>
    </i>
    <i r="1">
      <x v="7"/>
      <x v="40"/>
    </i>
    <i r="1">
      <x v="8"/>
      <x/>
    </i>
    <i r="1">
      <x v="9"/>
      <x v="1"/>
    </i>
    <i r="2">
      <x v="45"/>
    </i>
    <i r="1">
      <x v="11"/>
      <x v="51"/>
    </i>
    <i r="1">
      <x v="12"/>
      <x v="2"/>
    </i>
    <i r="1">
      <x v="13"/>
      <x v="60"/>
    </i>
    <i r="1">
      <x v="14"/>
      <x v="41"/>
    </i>
    <i r="1">
      <x v="15"/>
      <x v="39"/>
    </i>
    <i r="1">
      <x v="16"/>
      <x v="65"/>
    </i>
    <i r="1">
      <x v="17"/>
      <x v="56"/>
    </i>
    <i r="1">
      <x v="18"/>
      <x v="43"/>
    </i>
    <i r="1">
      <x v="19"/>
      <x v="38"/>
    </i>
    <i t="blank">
      <x v="35"/>
    </i>
    <i>
      <x v="36"/>
    </i>
    <i r="1">
      <x/>
      <x v="46"/>
    </i>
    <i r="1">
      <x v="1"/>
      <x v="55"/>
    </i>
    <i r="1">
      <x v="2"/>
      <x v="53"/>
    </i>
    <i r="1">
      <x v="3"/>
      <x v="1"/>
    </i>
    <i r="1">
      <x v="4"/>
      <x v="58"/>
    </i>
    <i r="1">
      <x v="5"/>
      <x/>
    </i>
    <i r="2">
      <x v="42"/>
    </i>
    <i r="1">
      <x v="7"/>
      <x v="49"/>
    </i>
    <i r="2">
      <x v="59"/>
    </i>
    <i r="1">
      <x v="9"/>
      <x v="40"/>
    </i>
    <i r="1">
      <x v="10"/>
      <x v="2"/>
    </i>
    <i r="1">
      <x v="11"/>
      <x v="41"/>
    </i>
    <i r="1">
      <x v="12"/>
      <x v="51"/>
    </i>
    <i r="1">
      <x v="13"/>
      <x v="39"/>
    </i>
    <i r="1">
      <x v="14"/>
      <x v="60"/>
    </i>
    <i r="1">
      <x v="15"/>
      <x v="56"/>
    </i>
    <i r="1">
      <x v="16"/>
      <x v="37"/>
    </i>
    <i r="1">
      <x v="17"/>
      <x v="26"/>
    </i>
    <i r="2">
      <x v="45"/>
    </i>
    <i r="1">
      <x v="19"/>
      <x v="28"/>
    </i>
    <i r="2">
      <x v="65"/>
    </i>
    <i t="blank">
      <x v="36"/>
    </i>
    <i>
      <x v="37"/>
    </i>
    <i r="1">
      <x/>
      <x v="46"/>
    </i>
    <i r="1">
      <x v="1"/>
      <x v="55"/>
    </i>
    <i r="1">
      <x v="2"/>
      <x v="53"/>
    </i>
    <i r="1">
      <x v="3"/>
      <x v="58"/>
    </i>
    <i r="1">
      <x v="4"/>
      <x v="59"/>
    </i>
    <i r="1">
      <x v="5"/>
      <x v="49"/>
    </i>
    <i r="1">
      <x v="6"/>
      <x v="1"/>
    </i>
    <i r="1">
      <x v="7"/>
      <x/>
    </i>
    <i r="1">
      <x v="8"/>
      <x v="42"/>
    </i>
    <i r="1">
      <x v="9"/>
      <x v="51"/>
    </i>
    <i r="1">
      <x v="10"/>
      <x v="2"/>
    </i>
    <i r="1">
      <x v="11"/>
      <x v="40"/>
    </i>
    <i r="1">
      <x v="12"/>
      <x v="60"/>
    </i>
    <i r="1">
      <x v="13"/>
      <x v="26"/>
    </i>
    <i r="1">
      <x v="14"/>
      <x v="41"/>
    </i>
    <i r="1">
      <x v="15"/>
      <x v="39"/>
    </i>
    <i r="1">
      <x v="16"/>
      <x v="65"/>
    </i>
    <i r="1">
      <x v="17"/>
      <x v="43"/>
    </i>
    <i r="1">
      <x v="18"/>
      <x v="37"/>
    </i>
    <i r="2">
      <x v="45"/>
    </i>
    <i t="blank">
      <x v="37"/>
    </i>
    <i>
      <x v="38"/>
    </i>
    <i r="1">
      <x/>
      <x v="53"/>
    </i>
    <i r="1">
      <x v="1"/>
      <x v="55"/>
    </i>
    <i r="1">
      <x v="2"/>
      <x v="46"/>
    </i>
    <i r="1">
      <x v="3"/>
      <x v="1"/>
    </i>
    <i r="1">
      <x v="4"/>
      <x v="42"/>
    </i>
    <i r="1">
      <x v="5"/>
      <x/>
    </i>
    <i r="1">
      <x v="6"/>
      <x v="59"/>
    </i>
    <i r="1">
      <x v="7"/>
      <x v="40"/>
    </i>
    <i r="1">
      <x v="8"/>
      <x v="58"/>
    </i>
    <i r="1">
      <x v="9"/>
      <x v="2"/>
    </i>
    <i r="1">
      <x v="10"/>
      <x v="49"/>
    </i>
    <i r="1">
      <x v="11"/>
      <x v="51"/>
    </i>
    <i r="1">
      <x v="12"/>
      <x v="45"/>
    </i>
    <i r="1">
      <x v="13"/>
      <x v="41"/>
    </i>
    <i r="1">
      <x v="14"/>
      <x v="60"/>
    </i>
    <i r="1">
      <x v="15"/>
      <x v="56"/>
    </i>
    <i r="1">
      <x v="16"/>
      <x v="65"/>
    </i>
    <i r="1">
      <x v="17"/>
      <x v="39"/>
    </i>
    <i r="1">
      <x v="18"/>
      <x v="37"/>
    </i>
    <i r="1">
      <x v="19"/>
      <x v="38"/>
    </i>
    <i t="blank">
      <x v="38"/>
    </i>
    <i>
      <x v="39"/>
    </i>
    <i r="1">
      <x/>
      <x v="46"/>
    </i>
    <i r="1">
      <x v="1"/>
      <x v="53"/>
    </i>
    <i r="1">
      <x v="2"/>
      <x v="55"/>
    </i>
    <i r="1">
      <x v="3"/>
      <x v="58"/>
    </i>
    <i r="1">
      <x v="4"/>
      <x v="59"/>
    </i>
    <i r="1">
      <x v="5"/>
      <x v="42"/>
    </i>
    <i r="1">
      <x v="6"/>
      <x v="49"/>
    </i>
    <i r="1">
      <x v="7"/>
      <x/>
    </i>
    <i r="1">
      <x v="8"/>
      <x v="40"/>
    </i>
    <i r="1">
      <x v="9"/>
      <x v="51"/>
    </i>
    <i r="1">
      <x v="10"/>
      <x v="39"/>
    </i>
    <i r="1">
      <x v="11"/>
      <x v="1"/>
    </i>
    <i r="2">
      <x v="45"/>
    </i>
    <i r="1">
      <x v="13"/>
      <x v="2"/>
    </i>
    <i r="1">
      <x v="14"/>
      <x v="41"/>
    </i>
    <i r="1">
      <x v="15"/>
      <x v="60"/>
    </i>
    <i r="1">
      <x v="16"/>
      <x v="26"/>
    </i>
    <i r="1">
      <x v="17"/>
      <x v="38"/>
    </i>
    <i r="1">
      <x v="18"/>
      <x v="65"/>
    </i>
    <i r="1">
      <x v="19"/>
      <x v="37"/>
    </i>
    <i r="2">
      <x v="56"/>
    </i>
    <i r="2">
      <x v="57"/>
    </i>
    <i t="blank">
      <x v="39"/>
    </i>
    <i>
      <x v="40"/>
    </i>
    <i r="1">
      <x/>
      <x v="46"/>
    </i>
    <i r="1">
      <x v="1"/>
      <x v="53"/>
    </i>
    <i r="1">
      <x v="2"/>
      <x v="55"/>
    </i>
    <i r="1">
      <x v="3"/>
      <x v="42"/>
    </i>
    <i r="1">
      <x v="4"/>
      <x v="59"/>
    </i>
    <i r="1">
      <x v="5"/>
      <x v="58"/>
    </i>
    <i r="1">
      <x v="6"/>
      <x v="49"/>
    </i>
    <i r="1">
      <x v="7"/>
      <x/>
    </i>
    <i r="1">
      <x v="8"/>
      <x v="40"/>
    </i>
    <i r="1">
      <x v="9"/>
      <x v="39"/>
    </i>
    <i r="1">
      <x v="10"/>
      <x v="2"/>
    </i>
    <i r="1">
      <x v="11"/>
      <x v="51"/>
    </i>
    <i r="1">
      <x v="12"/>
      <x v="1"/>
    </i>
    <i r="1">
      <x v="13"/>
      <x v="45"/>
    </i>
    <i r="1">
      <x v="14"/>
      <x v="65"/>
    </i>
    <i r="1">
      <x v="15"/>
      <x v="60"/>
    </i>
    <i r="1">
      <x v="16"/>
      <x v="26"/>
    </i>
    <i r="2">
      <x v="41"/>
    </i>
    <i r="1">
      <x v="18"/>
      <x v="37"/>
    </i>
    <i r="2">
      <x v="38"/>
    </i>
    <i r="2">
      <x v="56"/>
    </i>
    <i t="blank">
      <x v="40"/>
    </i>
    <i>
      <x v="41"/>
    </i>
    <i r="1">
      <x/>
      <x v="53"/>
    </i>
    <i r="1">
      <x v="1"/>
      <x v="55"/>
    </i>
    <i r="1">
      <x v="2"/>
      <x v="42"/>
    </i>
    <i r="1">
      <x v="3"/>
      <x v="46"/>
    </i>
    <i r="1">
      <x v="4"/>
      <x/>
    </i>
    <i r="1">
      <x v="5"/>
      <x v="59"/>
    </i>
    <i r="1">
      <x v="6"/>
      <x v="2"/>
    </i>
    <i r="1">
      <x v="7"/>
      <x v="1"/>
    </i>
    <i r="1">
      <x v="8"/>
      <x v="41"/>
    </i>
    <i r="1">
      <x v="9"/>
      <x v="39"/>
    </i>
    <i r="1">
      <x v="10"/>
      <x v="58"/>
    </i>
    <i r="1">
      <x v="11"/>
      <x v="40"/>
    </i>
    <i r="1">
      <x v="12"/>
      <x v="45"/>
    </i>
    <i r="2">
      <x v="49"/>
    </i>
    <i r="1">
      <x v="14"/>
      <x v="51"/>
    </i>
    <i r="1">
      <x v="15"/>
      <x v="56"/>
    </i>
    <i r="1">
      <x v="16"/>
      <x v="37"/>
    </i>
    <i r="2">
      <x v="62"/>
    </i>
    <i r="1">
      <x v="18"/>
      <x v="36"/>
    </i>
    <i r="1">
      <x v="19"/>
      <x v="15"/>
    </i>
    <i r="2">
      <x v="38"/>
    </i>
    <i t="blank">
      <x v="41"/>
    </i>
    <i>
      <x v="42"/>
    </i>
    <i r="1">
      <x/>
      <x v="46"/>
    </i>
    <i r="1">
      <x v="1"/>
      <x v="53"/>
    </i>
    <i r="1">
      <x v="2"/>
      <x v="55"/>
    </i>
    <i r="1">
      <x v="3"/>
      <x v="1"/>
    </i>
    <i r="1">
      <x v="4"/>
      <x/>
    </i>
    <i r="1">
      <x v="5"/>
      <x v="2"/>
    </i>
    <i r="1">
      <x v="6"/>
      <x v="42"/>
    </i>
    <i r="1">
      <x v="7"/>
      <x v="40"/>
    </i>
    <i r="1">
      <x v="8"/>
      <x v="59"/>
    </i>
    <i r="1">
      <x v="9"/>
      <x v="49"/>
    </i>
    <i r="1">
      <x v="10"/>
      <x v="51"/>
    </i>
    <i r="2">
      <x v="58"/>
    </i>
    <i r="1">
      <x v="12"/>
      <x v="41"/>
    </i>
    <i r="1">
      <x v="13"/>
      <x v="38"/>
    </i>
    <i r="1">
      <x v="14"/>
      <x v="65"/>
    </i>
    <i r="1">
      <x v="15"/>
      <x v="39"/>
    </i>
    <i r="1">
      <x v="16"/>
      <x v="28"/>
    </i>
    <i r="2">
      <x v="45"/>
    </i>
    <i r="1">
      <x v="18"/>
      <x v="36"/>
    </i>
    <i r="2">
      <x v="56"/>
    </i>
    <i t="blank">
      <x v="42"/>
    </i>
    <i>
      <x v="43"/>
    </i>
    <i r="1">
      <x/>
      <x v="53"/>
    </i>
    <i r="1">
      <x v="1"/>
      <x v="55"/>
    </i>
    <i r="1">
      <x v="2"/>
      <x v="1"/>
    </i>
    <i r="1">
      <x v="3"/>
      <x v="46"/>
    </i>
    <i r="1">
      <x v="4"/>
      <x/>
    </i>
    <i r="1">
      <x v="5"/>
      <x v="2"/>
    </i>
    <i r="1">
      <x v="6"/>
      <x v="42"/>
    </i>
    <i r="1">
      <x v="7"/>
      <x v="58"/>
    </i>
    <i r="1">
      <x v="8"/>
      <x v="59"/>
    </i>
    <i r="1">
      <x v="9"/>
      <x v="40"/>
    </i>
    <i r="1">
      <x v="10"/>
      <x v="49"/>
    </i>
    <i r="1">
      <x v="11"/>
      <x v="41"/>
    </i>
    <i r="1">
      <x v="12"/>
      <x v="45"/>
    </i>
    <i r="1">
      <x v="13"/>
      <x v="51"/>
    </i>
    <i r="1">
      <x v="14"/>
      <x v="56"/>
    </i>
    <i r="1">
      <x v="15"/>
      <x v="65"/>
    </i>
    <i r="1">
      <x v="16"/>
      <x v="60"/>
    </i>
    <i r="1">
      <x v="17"/>
      <x v="39"/>
    </i>
    <i r="1">
      <x v="18"/>
      <x v="38"/>
    </i>
    <i r="2">
      <x v="62"/>
    </i>
    <i t="blank">
      <x v="43"/>
    </i>
    <i>
      <x v="44"/>
    </i>
    <i r="1">
      <x/>
      <x v="55"/>
    </i>
    <i r="1">
      <x v="1"/>
      <x v="53"/>
    </i>
    <i r="1">
      <x v="2"/>
      <x v="46"/>
    </i>
    <i r="1">
      <x v="3"/>
      <x v="42"/>
    </i>
    <i r="1">
      <x v="4"/>
      <x v="58"/>
    </i>
    <i r="1">
      <x v="5"/>
      <x/>
    </i>
    <i r="1">
      <x v="6"/>
      <x v="40"/>
    </i>
    <i r="1">
      <x v="7"/>
      <x v="1"/>
    </i>
    <i r="2">
      <x v="2"/>
    </i>
    <i r="1">
      <x v="9"/>
      <x v="59"/>
    </i>
    <i r="1">
      <x v="10"/>
      <x v="60"/>
    </i>
    <i r="1">
      <x v="11"/>
      <x v="51"/>
    </i>
    <i r="1">
      <x v="12"/>
      <x v="49"/>
    </i>
    <i r="1">
      <x v="13"/>
      <x v="45"/>
    </i>
    <i r="1">
      <x v="14"/>
      <x v="41"/>
    </i>
    <i r="1">
      <x v="15"/>
      <x v="39"/>
    </i>
    <i r="1">
      <x v="16"/>
      <x v="56"/>
    </i>
    <i r="1">
      <x v="17"/>
      <x v="65"/>
    </i>
    <i r="1">
      <x v="18"/>
      <x v="38"/>
    </i>
    <i r="1">
      <x v="19"/>
      <x v="57"/>
    </i>
    <i t="blank">
      <x v="44"/>
    </i>
    <i>
      <x v="45"/>
    </i>
    <i r="1">
      <x/>
      <x v="46"/>
    </i>
    <i r="1">
      <x v="1"/>
      <x v="55"/>
    </i>
    <i r="1">
      <x v="2"/>
      <x v="1"/>
    </i>
    <i r="1">
      <x v="3"/>
      <x v="53"/>
    </i>
    <i r="1">
      <x v="4"/>
      <x/>
    </i>
    <i r="1">
      <x v="5"/>
      <x v="2"/>
    </i>
    <i r="1">
      <x v="6"/>
      <x v="58"/>
    </i>
    <i r="1">
      <x v="7"/>
      <x v="42"/>
    </i>
    <i r="1">
      <x v="8"/>
      <x v="59"/>
    </i>
    <i r="1">
      <x v="9"/>
      <x v="49"/>
    </i>
    <i r="1">
      <x v="10"/>
      <x v="51"/>
    </i>
    <i r="1">
      <x v="11"/>
      <x v="40"/>
    </i>
    <i r="1">
      <x v="12"/>
      <x v="60"/>
    </i>
    <i r="1">
      <x v="13"/>
      <x v="41"/>
    </i>
    <i r="1">
      <x v="14"/>
      <x v="26"/>
    </i>
    <i r="1">
      <x v="15"/>
      <x v="39"/>
    </i>
    <i r="1">
      <x v="16"/>
      <x v="45"/>
    </i>
    <i r="1">
      <x v="17"/>
      <x v="38"/>
    </i>
    <i r="2">
      <x v="65"/>
    </i>
    <i r="1">
      <x v="19"/>
      <x v="56"/>
    </i>
    <i t="blank">
      <x v="45"/>
    </i>
    <i>
      <x v="46"/>
    </i>
    <i r="1">
      <x/>
      <x v="1"/>
    </i>
    <i r="1">
      <x v="1"/>
      <x/>
    </i>
    <i r="1">
      <x v="2"/>
      <x v="2"/>
    </i>
    <i r="1">
      <x v="3"/>
      <x v="53"/>
    </i>
    <i r="1">
      <x v="4"/>
      <x v="55"/>
    </i>
    <i r="1">
      <x v="5"/>
      <x v="41"/>
    </i>
    <i r="1">
      <x v="6"/>
      <x v="46"/>
    </i>
    <i r="1">
      <x v="7"/>
      <x v="42"/>
    </i>
    <i r="1">
      <x v="8"/>
      <x v="40"/>
    </i>
    <i r="1">
      <x v="9"/>
      <x v="58"/>
    </i>
    <i r="1">
      <x v="10"/>
      <x v="59"/>
    </i>
    <i r="1">
      <x v="11"/>
      <x v="39"/>
    </i>
    <i r="1">
      <x v="12"/>
      <x v="17"/>
    </i>
    <i r="1">
      <x v="13"/>
      <x v="15"/>
    </i>
    <i r="2">
      <x v="49"/>
    </i>
    <i r="2">
      <x v="51"/>
    </i>
    <i r="1">
      <x v="16"/>
      <x v="62"/>
    </i>
    <i r="1">
      <x v="17"/>
      <x v="45"/>
    </i>
    <i r="1">
      <x v="18"/>
      <x v="37"/>
    </i>
    <i r="1">
      <x v="19"/>
      <x v="20"/>
    </i>
    <i r="2">
      <x v="36"/>
    </i>
    <i r="2">
      <x v="56"/>
    </i>
    <i t="blank">
      <x v="46"/>
    </i>
    <i>
      <x v="47"/>
    </i>
    <i r="1">
      <x/>
      <x v="55"/>
    </i>
    <i r="1">
      <x v="1"/>
      <x v="46"/>
    </i>
    <i r="1">
      <x v="2"/>
      <x v="53"/>
    </i>
    <i r="1">
      <x v="3"/>
      <x v="49"/>
    </i>
    <i r="1">
      <x v="4"/>
      <x v="42"/>
    </i>
    <i r="1">
      <x v="5"/>
      <x v="59"/>
    </i>
    <i r="1">
      <x v="6"/>
      <x v="51"/>
    </i>
    <i r="1">
      <x v="7"/>
      <x v="58"/>
    </i>
    <i r="1">
      <x v="8"/>
      <x/>
    </i>
    <i r="1">
      <x v="9"/>
      <x v="1"/>
    </i>
    <i r="1">
      <x v="10"/>
      <x v="39"/>
    </i>
    <i r="1">
      <x v="11"/>
      <x v="26"/>
    </i>
    <i r="1">
      <x v="12"/>
      <x v="40"/>
    </i>
    <i r="2">
      <x v="65"/>
    </i>
    <i r="1">
      <x v="14"/>
      <x v="2"/>
    </i>
    <i r="1">
      <x v="15"/>
      <x v="60"/>
    </i>
    <i r="1">
      <x v="16"/>
      <x v="37"/>
    </i>
    <i r="1">
      <x v="17"/>
      <x v="41"/>
    </i>
    <i r="2">
      <x v="56"/>
    </i>
    <i r="1">
      <x v="19"/>
      <x v="45"/>
    </i>
    <i t="blank">
      <x v="47"/>
    </i>
    <i>
      <x v="48"/>
    </i>
    <i r="1">
      <x/>
      <x v="46"/>
    </i>
    <i r="1">
      <x v="1"/>
      <x v="55"/>
    </i>
    <i r="1">
      <x v="2"/>
      <x v="1"/>
    </i>
    <i r="1">
      <x v="3"/>
      <x v="53"/>
    </i>
    <i r="1">
      <x v="4"/>
      <x/>
    </i>
    <i r="1">
      <x v="5"/>
      <x v="42"/>
    </i>
    <i r="1">
      <x v="6"/>
      <x v="51"/>
    </i>
    <i r="1">
      <x v="7"/>
      <x v="2"/>
    </i>
    <i r="1">
      <x v="8"/>
      <x v="59"/>
    </i>
    <i r="1">
      <x v="9"/>
      <x v="58"/>
    </i>
    <i r="1">
      <x v="10"/>
      <x v="49"/>
    </i>
    <i r="1">
      <x v="11"/>
      <x v="40"/>
    </i>
    <i r="1">
      <x v="12"/>
      <x v="65"/>
    </i>
    <i r="1">
      <x v="13"/>
      <x v="56"/>
    </i>
    <i r="1">
      <x v="14"/>
      <x v="37"/>
    </i>
    <i r="2">
      <x v="41"/>
    </i>
    <i r="1">
      <x v="16"/>
      <x v="38"/>
    </i>
    <i r="2">
      <x v="45"/>
    </i>
    <i r="1">
      <x v="18"/>
      <x v="26"/>
    </i>
    <i r="2">
      <x v="36"/>
    </i>
    <i t="blank">
      <x v="48"/>
    </i>
    <i>
      <x v="49"/>
    </i>
    <i r="1">
      <x/>
      <x v="53"/>
    </i>
    <i r="1">
      <x v="1"/>
      <x v="55"/>
    </i>
    <i r="1">
      <x v="2"/>
      <x v="46"/>
    </i>
    <i r="1">
      <x v="3"/>
      <x/>
    </i>
    <i r="1">
      <x v="4"/>
      <x v="1"/>
    </i>
    <i r="1">
      <x v="5"/>
      <x v="58"/>
    </i>
    <i r="2">
      <x v="59"/>
    </i>
    <i r="1">
      <x v="7"/>
      <x v="42"/>
    </i>
    <i r="1">
      <x v="8"/>
      <x v="40"/>
    </i>
    <i r="1">
      <x v="9"/>
      <x v="41"/>
    </i>
    <i r="1">
      <x v="10"/>
      <x v="45"/>
    </i>
    <i r="2">
      <x v="49"/>
    </i>
    <i r="1">
      <x v="12"/>
      <x v="2"/>
    </i>
    <i r="1">
      <x v="13"/>
      <x v="51"/>
    </i>
    <i r="1">
      <x v="14"/>
      <x v="17"/>
    </i>
    <i r="2">
      <x v="37"/>
    </i>
    <i r="2">
      <x v="60"/>
    </i>
    <i r="1">
      <x v="17"/>
      <x v="56"/>
    </i>
    <i r="2">
      <x v="62"/>
    </i>
    <i r="1">
      <x v="19"/>
      <x v="15"/>
    </i>
    <i r="2">
      <x v="26"/>
    </i>
    <i r="2">
      <x v="30"/>
    </i>
    <i r="2">
      <x v="36"/>
    </i>
    <i r="2">
      <x v="54"/>
    </i>
    <i t="blank">
      <x v="49"/>
    </i>
    <i>
      <x v="50"/>
    </i>
    <i r="1">
      <x/>
      <x/>
    </i>
    <i r="1">
      <x v="1"/>
      <x v="55"/>
    </i>
    <i r="1">
      <x v="2"/>
      <x v="1"/>
    </i>
    <i r="1">
      <x v="3"/>
      <x v="53"/>
    </i>
    <i r="1">
      <x v="4"/>
      <x v="42"/>
    </i>
    <i r="1">
      <x v="5"/>
      <x v="40"/>
    </i>
    <i r="1">
      <x v="6"/>
      <x v="2"/>
    </i>
    <i r="1">
      <x v="7"/>
      <x v="41"/>
    </i>
    <i r="1">
      <x v="8"/>
      <x v="46"/>
    </i>
    <i r="1">
      <x v="9"/>
      <x v="59"/>
    </i>
    <i r="1">
      <x v="10"/>
      <x v="58"/>
    </i>
    <i r="1">
      <x v="11"/>
      <x v="49"/>
    </i>
    <i r="1">
      <x v="12"/>
      <x v="45"/>
    </i>
    <i r="1">
      <x v="13"/>
      <x v="51"/>
    </i>
    <i r="1">
      <x v="14"/>
      <x v="39"/>
    </i>
    <i r="1">
      <x v="15"/>
      <x v="17"/>
    </i>
    <i r="1">
      <x v="16"/>
      <x v="15"/>
    </i>
    <i r="2">
      <x v="36"/>
    </i>
    <i r="2">
      <x v="60"/>
    </i>
    <i r="1">
      <x v="19"/>
      <x v="62"/>
    </i>
    <i t="blank">
      <x v="50"/>
    </i>
    <i>
      <x v="51"/>
    </i>
    <i r="1">
      <x/>
      <x v="46"/>
    </i>
    <i r="1">
      <x v="1"/>
      <x v="55"/>
    </i>
    <i r="1">
      <x v="2"/>
      <x v="53"/>
    </i>
    <i r="1">
      <x v="3"/>
      <x v="1"/>
    </i>
    <i r="1">
      <x v="4"/>
      <x v="59"/>
    </i>
    <i r="1">
      <x v="5"/>
      <x v="58"/>
    </i>
    <i r="1">
      <x v="6"/>
      <x v="40"/>
    </i>
    <i r="1">
      <x v="7"/>
      <x v="42"/>
    </i>
    <i r="1">
      <x v="8"/>
      <x v="49"/>
    </i>
    <i r="1">
      <x v="9"/>
      <x/>
    </i>
    <i r="1">
      <x v="10"/>
      <x v="2"/>
    </i>
    <i r="1">
      <x v="11"/>
      <x v="51"/>
    </i>
    <i r="1">
      <x v="12"/>
      <x v="41"/>
    </i>
    <i r="1">
      <x v="13"/>
      <x v="45"/>
    </i>
    <i r="1">
      <x v="14"/>
      <x v="60"/>
    </i>
    <i r="1">
      <x v="15"/>
      <x v="39"/>
    </i>
    <i r="1">
      <x v="16"/>
      <x v="38"/>
    </i>
    <i r="1">
      <x v="17"/>
      <x v="65"/>
    </i>
    <i r="1">
      <x v="18"/>
      <x v="56"/>
    </i>
    <i r="1">
      <x v="19"/>
      <x v="26"/>
    </i>
    <i t="blank">
      <x v="51"/>
    </i>
    <i>
      <x v="52"/>
    </i>
    <i r="1">
      <x/>
      <x v="1"/>
    </i>
    <i r="1">
      <x v="1"/>
      <x v="15"/>
    </i>
    <i r="1">
      <x v="2"/>
      <x/>
    </i>
    <i r="1">
      <x v="3"/>
      <x v="53"/>
    </i>
    <i r="1">
      <x v="4"/>
      <x v="17"/>
    </i>
    <i r="2">
      <x v="41"/>
    </i>
    <i r="1">
      <x v="6"/>
      <x v="55"/>
    </i>
    <i r="1">
      <x v="7"/>
      <x v="46"/>
    </i>
    <i r="1">
      <x v="8"/>
      <x v="62"/>
    </i>
    <i r="1">
      <x v="9"/>
      <x v="42"/>
    </i>
    <i r="1">
      <x v="10"/>
      <x v="2"/>
    </i>
    <i r="2">
      <x v="40"/>
    </i>
    <i r="1">
      <x v="12"/>
      <x v="20"/>
    </i>
    <i r="1">
      <x v="13"/>
      <x v="10"/>
    </i>
    <i r="2">
      <x v="21"/>
    </i>
    <i r="2">
      <x v="59"/>
    </i>
    <i r="1">
      <x v="16"/>
      <x v="18"/>
    </i>
    <i r="2">
      <x v="22"/>
    </i>
    <i r="1">
      <x v="18"/>
      <x v="36"/>
    </i>
    <i r="1">
      <x v="19"/>
      <x v="51"/>
    </i>
    <i r="2">
      <x v="58"/>
    </i>
    <i t="blank">
      <x v="52"/>
    </i>
    <i>
      <x v="53"/>
    </i>
    <i r="1">
      <x/>
      <x/>
    </i>
    <i r="1">
      <x v="1"/>
      <x v="1"/>
    </i>
    <i r="1">
      <x v="2"/>
      <x v="42"/>
    </i>
    <i r="1">
      <x v="3"/>
      <x v="55"/>
    </i>
    <i r="1">
      <x v="4"/>
      <x v="22"/>
    </i>
    <i r="2">
      <x v="53"/>
    </i>
    <i r="1">
      <x v="6"/>
      <x v="2"/>
    </i>
    <i r="1">
      <x v="7"/>
      <x v="46"/>
    </i>
    <i r="2">
      <x v="60"/>
    </i>
    <i r="1">
      <x v="9"/>
      <x v="39"/>
    </i>
    <i r="2">
      <x v="41"/>
    </i>
    <i r="1">
      <x v="11"/>
      <x v="58"/>
    </i>
    <i r="1">
      <x v="12"/>
      <x v="40"/>
    </i>
    <i r="1">
      <x v="13"/>
      <x v="36"/>
    </i>
    <i r="2">
      <x v="56"/>
    </i>
    <i r="1">
      <x v="15"/>
      <x v="6"/>
    </i>
    <i r="2">
      <x v="59"/>
    </i>
    <i r="2">
      <x v="62"/>
    </i>
    <i r="1">
      <x v="18"/>
      <x v="7"/>
    </i>
    <i r="2">
      <x v="43"/>
    </i>
    <i t="blank">
      <x v="53"/>
    </i>
    <i>
      <x v="54"/>
    </i>
    <i r="1">
      <x/>
      <x/>
    </i>
    <i r="1">
      <x v="1"/>
      <x v="52"/>
    </i>
    <i r="1">
      <x v="2"/>
      <x v="40"/>
    </i>
    <i r="2">
      <x v="53"/>
    </i>
    <i r="1">
      <x v="4"/>
      <x v="42"/>
    </i>
    <i r="1">
      <x v="5"/>
      <x v="1"/>
    </i>
    <i r="1">
      <x v="6"/>
      <x v="6"/>
    </i>
    <i r="2">
      <x v="55"/>
    </i>
    <i r="1">
      <x v="8"/>
      <x v="2"/>
    </i>
    <i r="2">
      <x v="58"/>
    </i>
    <i r="1">
      <x v="10"/>
      <x v="23"/>
    </i>
    <i r="2">
      <x v="46"/>
    </i>
    <i r="2">
      <x v="56"/>
    </i>
    <i r="2">
      <x v="65"/>
    </i>
    <i r="1">
      <x v="14"/>
      <x v="3"/>
    </i>
    <i r="2">
      <x v="5"/>
    </i>
    <i r="2">
      <x v="13"/>
    </i>
    <i r="2">
      <x v="20"/>
    </i>
    <i r="2">
      <x v="21"/>
    </i>
    <i r="2">
      <x v="24"/>
    </i>
    <i r="2">
      <x v="26"/>
    </i>
    <i r="2">
      <x v="34"/>
    </i>
    <i r="2">
      <x v="35"/>
    </i>
    <i r="2">
      <x v="36"/>
    </i>
    <i r="2">
      <x v="38"/>
    </i>
    <i r="2">
      <x v="41"/>
    </i>
    <i r="2">
      <x v="45"/>
    </i>
    <i r="2">
      <x v="47"/>
    </i>
    <i r="2">
      <x v="48"/>
    </i>
    <i r="2">
      <x v="49"/>
    </i>
    <i r="2">
      <x v="51"/>
    </i>
    <i r="2">
      <x v="60"/>
    </i>
    <i r="2">
      <x v="62"/>
    </i>
    <i r="2">
      <x v="64"/>
    </i>
    <i t="blank">
      <x v="54"/>
    </i>
    <i>
      <x v="55"/>
    </i>
    <i r="1">
      <x/>
      <x v="53"/>
    </i>
    <i r="1">
      <x v="1"/>
      <x/>
    </i>
    <i r="1">
      <x v="2"/>
      <x v="40"/>
    </i>
    <i r="1">
      <x v="3"/>
      <x v="42"/>
    </i>
    <i r="1">
      <x v="4"/>
      <x v="52"/>
    </i>
    <i r="1">
      <x v="5"/>
      <x v="55"/>
    </i>
    <i r="1">
      <x v="6"/>
      <x v="1"/>
    </i>
    <i r="2">
      <x v="2"/>
    </i>
    <i r="2">
      <x v="57"/>
    </i>
    <i r="1">
      <x v="9"/>
      <x v="7"/>
    </i>
    <i r="2">
      <x v="16"/>
    </i>
    <i r="2">
      <x v="18"/>
    </i>
    <i r="2">
      <x v="37"/>
    </i>
    <i r="2">
      <x v="39"/>
    </i>
    <i r="2">
      <x v="46"/>
    </i>
    <i r="2">
      <x v="51"/>
    </i>
    <i r="2">
      <x v="58"/>
    </i>
    <i r="2">
      <x v="59"/>
    </i>
    <i r="1">
      <x v="18"/>
      <x v="3"/>
    </i>
    <i r="2">
      <x v="8"/>
    </i>
    <i r="2">
      <x v="12"/>
    </i>
    <i r="2">
      <x v="15"/>
    </i>
    <i r="2">
      <x v="17"/>
    </i>
    <i r="2">
      <x v="19"/>
    </i>
    <i r="2">
      <x v="30"/>
    </i>
    <i r="2">
      <x v="35"/>
    </i>
    <i r="2">
      <x v="38"/>
    </i>
    <i r="2">
      <x v="41"/>
    </i>
    <i r="2">
      <x v="44"/>
    </i>
    <i r="2">
      <x v="45"/>
    </i>
    <i r="2">
      <x v="49"/>
    </i>
    <i r="2">
      <x v="54"/>
    </i>
    <i r="2">
      <x v="56"/>
    </i>
    <i r="2">
      <x v="61"/>
    </i>
    <i r="2">
      <x v="62"/>
    </i>
    <i r="2">
      <x v="63"/>
    </i>
    <i r="2">
      <x v="64"/>
    </i>
    <i r="2">
      <x v="65"/>
    </i>
    <i t="blank">
      <x v="55"/>
    </i>
    <i>
      <x v="56"/>
    </i>
    <i r="1">
      <x/>
      <x v="52"/>
    </i>
    <i r="1">
      <x v="1"/>
      <x v="40"/>
    </i>
    <i r="2">
      <x v="53"/>
    </i>
    <i r="1">
      <x v="3"/>
      <x v="42"/>
    </i>
    <i r="1">
      <x v="4"/>
      <x/>
    </i>
    <i r="1">
      <x v="5"/>
      <x v="55"/>
    </i>
    <i r="1">
      <x v="6"/>
      <x v="1"/>
    </i>
    <i r="2">
      <x v="3"/>
    </i>
    <i r="1">
      <x v="8"/>
      <x v="39"/>
    </i>
    <i r="1">
      <x v="9"/>
      <x v="57"/>
    </i>
    <i r="1">
      <x v="10"/>
      <x v="41"/>
    </i>
    <i r="2">
      <x v="58"/>
    </i>
    <i r="1">
      <x v="12"/>
      <x v="2"/>
    </i>
    <i r="1">
      <x v="13"/>
      <x v="59"/>
    </i>
    <i r="1">
      <x v="14"/>
      <x v="35"/>
    </i>
    <i r="2">
      <x v="43"/>
    </i>
    <i r="2">
      <x v="54"/>
    </i>
    <i r="2">
      <x v="62"/>
    </i>
    <i r="1">
      <x v="18"/>
      <x v="9"/>
    </i>
    <i r="2">
      <x v="29"/>
    </i>
    <i r="2">
      <x v="36"/>
    </i>
    <i r="2">
      <x v="47"/>
    </i>
    <i r="2">
      <x v="49"/>
    </i>
    <i r="2">
      <x v="51"/>
    </i>
    <i r="2">
      <x v="60"/>
    </i>
    <i t="blank">
      <x v="56"/>
    </i>
    <i>
      <x v="57"/>
    </i>
    <i r="1">
      <x/>
      <x v="52"/>
    </i>
    <i r="1">
      <x v="1"/>
      <x v="40"/>
    </i>
    <i r="1">
      <x v="2"/>
      <x/>
    </i>
    <i r="2">
      <x v="53"/>
    </i>
    <i r="1">
      <x v="4"/>
      <x v="2"/>
    </i>
    <i r="2">
      <x v="3"/>
    </i>
    <i r="2">
      <x v="24"/>
    </i>
    <i r="2">
      <x v="32"/>
    </i>
    <i r="2">
      <x v="41"/>
    </i>
    <i r="2">
      <x v="55"/>
    </i>
    <i r="2">
      <x v="61"/>
    </i>
    <i r="2">
      <x v="66"/>
    </i>
    <i t="blank">
      <x v="57"/>
    </i>
    <i>
      <x v="58"/>
    </i>
    <i r="1">
      <x/>
      <x v="52"/>
    </i>
    <i r="1">
      <x v="1"/>
      <x v="53"/>
    </i>
    <i r="1">
      <x v="2"/>
      <x v="42"/>
    </i>
    <i r="1">
      <x v="3"/>
      <x v="40"/>
    </i>
    <i r="1">
      <x v="4"/>
      <x v="2"/>
    </i>
    <i r="1">
      <x v="5"/>
      <x v="1"/>
    </i>
    <i r="2">
      <x v="55"/>
    </i>
    <i r="2">
      <x v="57"/>
    </i>
    <i r="1">
      <x v="8"/>
      <x v="3"/>
    </i>
    <i r="2">
      <x v="32"/>
    </i>
    <i r="1">
      <x v="10"/>
      <x/>
    </i>
    <i r="2">
      <x v="12"/>
    </i>
    <i r="2">
      <x v="41"/>
    </i>
    <i r="1">
      <x v="13"/>
      <x v="24"/>
    </i>
    <i r="2">
      <x v="31"/>
    </i>
    <i r="2">
      <x v="39"/>
    </i>
    <i r="2">
      <x v="47"/>
    </i>
    <i r="2">
      <x v="58"/>
    </i>
    <i r="1">
      <x v="18"/>
      <x v="4"/>
    </i>
    <i r="2">
      <x v="16"/>
    </i>
    <i r="2">
      <x v="30"/>
    </i>
    <i r="2">
      <x v="35"/>
    </i>
    <i r="2">
      <x v="38"/>
    </i>
    <i r="2">
      <x v="48"/>
    </i>
    <i r="2">
      <x v="49"/>
    </i>
    <i r="2">
      <x v="60"/>
    </i>
    <i r="2">
      <x v="62"/>
    </i>
    <i r="2">
      <x v="66"/>
    </i>
    <i t="blank">
      <x v="58"/>
    </i>
    <i>
      <x v="59"/>
    </i>
    <i r="1">
      <x/>
      <x v="52"/>
    </i>
    <i r="1">
      <x v="1"/>
      <x v="53"/>
    </i>
    <i r="1">
      <x v="2"/>
      <x v="40"/>
    </i>
    <i r="2">
      <x v="42"/>
    </i>
    <i r="1">
      <x v="4"/>
      <x v="55"/>
    </i>
    <i r="1">
      <x v="5"/>
      <x/>
    </i>
    <i r="1">
      <x v="6"/>
      <x v="2"/>
    </i>
    <i r="2">
      <x v="57"/>
    </i>
    <i r="1">
      <x v="8"/>
      <x v="1"/>
    </i>
    <i r="2">
      <x v="58"/>
    </i>
    <i r="1">
      <x v="10"/>
      <x v="21"/>
    </i>
    <i r="2">
      <x v="51"/>
    </i>
    <i r="2">
      <x v="61"/>
    </i>
    <i r="1">
      <x v="13"/>
      <x v="3"/>
    </i>
    <i r="2">
      <x v="4"/>
    </i>
    <i r="2">
      <x v="12"/>
    </i>
    <i r="2">
      <x v="24"/>
    </i>
    <i r="2">
      <x v="25"/>
    </i>
    <i r="2">
      <x v="29"/>
    </i>
    <i r="2">
      <x v="30"/>
    </i>
    <i r="2">
      <x v="33"/>
    </i>
    <i r="2">
      <x v="35"/>
    </i>
    <i r="2">
      <x v="41"/>
    </i>
    <i r="2">
      <x v="47"/>
    </i>
    <i r="2">
      <x v="49"/>
    </i>
    <i r="2">
      <x v="54"/>
    </i>
    <i r="2">
      <x v="59"/>
    </i>
    <i r="2">
      <x v="60"/>
    </i>
    <i t="blank">
      <x v="59"/>
    </i>
    <i>
      <x v="60"/>
    </i>
    <i r="1">
      <x/>
      <x v="52"/>
    </i>
    <i r="1">
      <x v="1"/>
      <x v="53"/>
    </i>
    <i r="1">
      <x v="2"/>
      <x v="57"/>
    </i>
    <i r="1">
      <x v="3"/>
      <x v="55"/>
    </i>
    <i r="1">
      <x v="4"/>
      <x v="40"/>
    </i>
    <i r="2">
      <x v="42"/>
    </i>
    <i r="1">
      <x v="6"/>
      <x/>
    </i>
    <i r="2">
      <x v="1"/>
    </i>
    <i r="1">
      <x v="8"/>
      <x v="2"/>
    </i>
    <i r="1">
      <x v="9"/>
      <x v="3"/>
    </i>
    <i r="2">
      <x v="41"/>
    </i>
    <i r="1">
      <x v="11"/>
      <x v="29"/>
    </i>
    <i r="2">
      <x v="46"/>
    </i>
    <i r="1">
      <x v="13"/>
      <x v="22"/>
    </i>
    <i r="2">
      <x v="65"/>
    </i>
    <i r="1">
      <x v="15"/>
      <x v="35"/>
    </i>
    <i r="2">
      <x v="36"/>
    </i>
    <i r="2">
      <x v="39"/>
    </i>
    <i r="2">
      <x v="49"/>
    </i>
    <i r="2">
      <x v="51"/>
    </i>
    <i t="blank">
      <x v="60"/>
    </i>
    <i>
      <x v="61"/>
    </i>
    <i r="1">
      <x/>
      <x v="31"/>
    </i>
    <i r="1">
      <x v="1"/>
      <x v="42"/>
    </i>
    <i r="2">
      <x v="52"/>
    </i>
    <i r="1">
      <x v="3"/>
      <x v="53"/>
    </i>
    <i r="2">
      <x v="54"/>
    </i>
    <i r="2">
      <x v="55"/>
    </i>
    <i r="2">
      <x v="57"/>
    </i>
    <i t="blank">
      <x v="61"/>
    </i>
    <i>
      <x v="62"/>
    </i>
    <i r="1">
      <x/>
      <x v="53"/>
    </i>
    <i r="1">
      <x v="1"/>
      <x v="52"/>
    </i>
    <i r="1">
      <x v="2"/>
      <x v="55"/>
    </i>
    <i r="1">
      <x v="3"/>
      <x v="40"/>
    </i>
    <i r="1">
      <x v="4"/>
      <x v="42"/>
    </i>
    <i r="1">
      <x v="5"/>
      <x/>
    </i>
    <i r="1">
      <x v="6"/>
      <x v="3"/>
    </i>
    <i r="1">
      <x v="7"/>
      <x v="1"/>
    </i>
    <i r="2">
      <x v="57"/>
    </i>
    <i r="2">
      <x v="59"/>
    </i>
    <i r="1">
      <x v="10"/>
      <x v="41"/>
    </i>
    <i r="2">
      <x v="58"/>
    </i>
    <i r="1">
      <x v="12"/>
      <x v="29"/>
    </i>
    <i r="2">
      <x v="46"/>
    </i>
    <i r="2">
      <x v="51"/>
    </i>
    <i r="1">
      <x v="15"/>
      <x v="39"/>
    </i>
    <i r="2">
      <x v="65"/>
    </i>
    <i r="1">
      <x v="17"/>
      <x v="2"/>
    </i>
    <i r="2">
      <x v="47"/>
    </i>
    <i r="1">
      <x v="19"/>
      <x v="4"/>
    </i>
    <i r="2">
      <x v="35"/>
    </i>
    <i r="2">
      <x v="36"/>
    </i>
    <i r="2">
      <x v="54"/>
    </i>
    <i t="blank">
      <x v="62"/>
    </i>
    <i>
      <x v="63"/>
    </i>
    <i r="1">
      <x/>
      <x v="52"/>
    </i>
    <i r="1">
      <x v="1"/>
      <x v="53"/>
    </i>
    <i r="1">
      <x v="2"/>
      <x v="2"/>
    </i>
    <i r="2">
      <x v="4"/>
    </i>
    <i r="2">
      <x v="9"/>
    </i>
    <i r="2">
      <x v="40"/>
    </i>
    <i r="2">
      <x v="60"/>
    </i>
    <i r="2">
      <x v="62"/>
    </i>
    <i t="blank">
      <x v="63"/>
    </i>
    <i>
      <x v="64"/>
    </i>
    <i r="1">
      <x/>
      <x v="52"/>
    </i>
    <i r="1">
      <x v="1"/>
      <x v="53"/>
    </i>
    <i r="1">
      <x v="2"/>
      <x v="46"/>
    </i>
    <i r="1">
      <x v="3"/>
      <x v="42"/>
    </i>
    <i r="1">
      <x v="4"/>
      <x/>
    </i>
    <i r="2">
      <x v="57"/>
    </i>
    <i r="1">
      <x v="6"/>
      <x v="2"/>
    </i>
    <i r="1">
      <x v="7"/>
      <x v="40"/>
    </i>
    <i r="2">
      <x v="51"/>
    </i>
    <i r="2">
      <x v="56"/>
    </i>
    <i r="1">
      <x v="10"/>
      <x v="1"/>
    </i>
    <i r="2">
      <x v="39"/>
    </i>
    <i r="2">
      <x v="54"/>
    </i>
    <i r="1">
      <x v="13"/>
      <x v="31"/>
    </i>
    <i r="2">
      <x v="43"/>
    </i>
    <i r="2">
      <x v="48"/>
    </i>
    <i r="2">
      <x v="55"/>
    </i>
    <i r="1">
      <x v="17"/>
      <x v="3"/>
    </i>
    <i r="2">
      <x v="9"/>
    </i>
    <i r="2">
      <x v="59"/>
    </i>
    <i r="2">
      <x v="63"/>
    </i>
    <i r="2">
      <x v="65"/>
    </i>
    <i t="blank">
      <x v="6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943">
      <pivotArea field="2" type="button" dataOnly="0" labelOnly="1" outline="0" axis="axisRow" fieldPosition="0"/>
    </format>
    <format dxfId="942">
      <pivotArea outline="0" fieldPosition="0">
        <references count="1">
          <reference field="4294967294" count="1">
            <x v="0"/>
          </reference>
        </references>
      </pivotArea>
    </format>
    <format dxfId="941">
      <pivotArea outline="0" fieldPosition="0">
        <references count="1">
          <reference field="4294967294" count="1">
            <x v="1"/>
          </reference>
        </references>
      </pivotArea>
    </format>
    <format dxfId="940">
      <pivotArea outline="0" fieldPosition="0">
        <references count="1">
          <reference field="4294967294" count="1">
            <x v="2"/>
          </reference>
        </references>
      </pivotArea>
    </format>
    <format dxfId="939">
      <pivotArea outline="0" fieldPosition="0">
        <references count="1">
          <reference field="4294967294" count="1">
            <x v="3"/>
          </reference>
        </references>
      </pivotArea>
    </format>
    <format dxfId="938">
      <pivotArea outline="0" fieldPosition="0">
        <references count="1">
          <reference field="4294967294" count="1">
            <x v="4"/>
          </reference>
        </references>
      </pivotArea>
    </format>
    <format dxfId="937">
      <pivotArea outline="0" fieldPosition="0">
        <references count="1">
          <reference field="4294967294" count="1">
            <x v="5"/>
          </reference>
        </references>
      </pivotArea>
    </format>
    <format dxfId="936">
      <pivotArea outline="0" fieldPosition="0">
        <references count="1">
          <reference field="4294967294" count="1">
            <x v="6"/>
          </reference>
        </references>
      </pivotArea>
    </format>
    <format dxfId="935">
      <pivotArea field="2" type="button" dataOnly="0" labelOnly="1" outline="0" axis="axisRow" fieldPosition="0"/>
    </format>
    <format dxfId="9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3">
      <pivotArea field="2" type="button" dataOnly="0" labelOnly="1" outline="0" axis="axisRow" fieldPosition="0"/>
    </format>
    <format dxfId="9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1">
      <pivotArea field="2" type="button" dataOnly="0" labelOnly="1" outline="0" axis="axisRow" fieldPosition="0"/>
    </format>
    <format dxfId="9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2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52315F-4C1D-4A8B-A271-68A3EC2C6D84}" name="pvt_S" cacheId="216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67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5">
        <item x="50"/>
        <item x="48"/>
        <item x="49"/>
        <item x="23"/>
        <item x="25"/>
        <item x="24"/>
        <item x="9"/>
        <item x="4"/>
        <item x="19"/>
        <item x="39"/>
        <item x="40"/>
        <item x="42"/>
        <item x="29"/>
        <item x="61"/>
        <item x="60"/>
        <item x="14"/>
        <item x="64"/>
        <item x="35"/>
        <item x="36"/>
        <item x="32"/>
        <item x="5"/>
        <item x="16"/>
        <item x="13"/>
        <item x="44"/>
        <item x="55"/>
        <item x="52"/>
        <item x="53"/>
        <item x="54"/>
        <item x="51"/>
        <item x="30"/>
        <item x="2"/>
        <item x="22"/>
        <item x="47"/>
        <item x="7"/>
        <item x="12"/>
        <item x="58"/>
        <item x="59"/>
        <item x="56"/>
        <item x="57"/>
        <item x="3"/>
        <item x="15"/>
        <item x="34"/>
        <item x="33"/>
        <item x="45"/>
        <item x="0"/>
        <item x="38"/>
        <item x="43"/>
        <item x="1"/>
        <item x="37"/>
        <item x="26"/>
        <item x="63"/>
        <item x="62"/>
        <item x="20"/>
        <item x="10"/>
        <item x="31"/>
        <item x="46"/>
        <item x="28"/>
        <item x="41"/>
        <item x="6"/>
        <item x="17"/>
        <item x="18"/>
        <item x="8"/>
        <item x="11"/>
        <item x="27"/>
        <item x="21"/>
      </items>
    </pivotField>
    <pivotField axis="axisRow" showAll="0" insertBlankRow="1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120">
        <item x="64"/>
        <item x="116"/>
        <item x="49"/>
        <item x="66"/>
        <item x="45"/>
        <item x="70"/>
        <item x="72"/>
        <item x="105"/>
        <item x="69"/>
        <item x="39"/>
        <item x="51"/>
        <item x="36"/>
        <item x="112"/>
        <item x="43"/>
        <item x="100"/>
        <item x="107"/>
        <item x="95"/>
        <item x="113"/>
        <item x="35"/>
        <item x="84"/>
        <item x="85"/>
        <item x="89"/>
        <item x="24"/>
        <item x="114"/>
        <item x="101"/>
        <item x="53"/>
        <item x="52"/>
        <item x="74"/>
        <item x="44"/>
        <item x="73"/>
        <item x="106"/>
        <item x="33"/>
        <item x="108"/>
        <item x="75"/>
        <item x="86"/>
        <item x="96"/>
        <item x="17"/>
        <item x="46"/>
        <item x="22"/>
        <item x="50"/>
        <item x="76"/>
        <item x="109"/>
        <item x="97"/>
        <item x="102"/>
        <item x="29"/>
        <item x="31"/>
        <item x="28"/>
        <item x="27"/>
        <item x="38"/>
        <item x="26"/>
        <item x="37"/>
        <item x="23"/>
        <item x="59"/>
        <item x="20"/>
        <item x="55"/>
        <item x="42"/>
        <item x="60"/>
        <item x="32"/>
        <item x="93"/>
        <item x="90"/>
        <item x="83"/>
        <item x="48"/>
        <item x="16"/>
        <item x="63"/>
        <item x="77"/>
        <item x="103"/>
        <item x="41"/>
        <item x="81"/>
        <item x="94"/>
        <item x="104"/>
        <item x="56"/>
        <item x="7"/>
        <item x="117"/>
        <item x="61"/>
        <item x="9"/>
        <item x="5"/>
        <item x="0"/>
        <item x="47"/>
        <item x="4"/>
        <item x="111"/>
        <item x="115"/>
        <item x="21"/>
        <item x="13"/>
        <item x="30"/>
        <item x="18"/>
        <item x="12"/>
        <item x="25"/>
        <item x="14"/>
        <item x="80"/>
        <item x="82"/>
        <item x="87"/>
        <item x="54"/>
        <item x="1"/>
        <item x="88"/>
        <item x="62"/>
        <item x="3"/>
        <item x="10"/>
        <item x="34"/>
        <item x="110"/>
        <item x="40"/>
        <item x="11"/>
        <item x="2"/>
        <item x="57"/>
        <item x="58"/>
        <item x="118"/>
        <item x="91"/>
        <item x="92"/>
        <item x="68"/>
        <item x="8"/>
        <item x="19"/>
        <item x="6"/>
        <item x="65"/>
        <item x="78"/>
        <item x="79"/>
        <item x="98"/>
        <item x="67"/>
        <item x="119"/>
        <item x="71"/>
        <item x="15"/>
        <item x="99"/>
      </items>
    </pivotField>
    <pivotField showAll="0" defaultSubtotal="0">
      <items count="120">
        <item x="46"/>
        <item x="108"/>
        <item x="103"/>
        <item x="62"/>
        <item x="104"/>
        <item x="101"/>
        <item x="16"/>
        <item x="102"/>
        <item x="91"/>
        <item x="87"/>
        <item x="32"/>
        <item x="51"/>
        <item x="73"/>
        <item x="12"/>
        <item x="57"/>
        <item x="85"/>
        <item x="88"/>
        <item x="17"/>
        <item x="30"/>
        <item x="72"/>
        <item x="10"/>
        <item x="107"/>
        <item x="29"/>
        <item x="41"/>
        <item x="76"/>
        <item x="50"/>
        <item x="98"/>
        <item x="24"/>
        <item x="109"/>
        <item x="26"/>
        <item x="48"/>
        <item x="97"/>
        <item x="35"/>
        <item x="93"/>
        <item x="68"/>
        <item x="43"/>
        <item x="59"/>
        <item x="82"/>
        <item x="77"/>
        <item x="33"/>
        <item x="34"/>
        <item x="8"/>
        <item x="44"/>
        <item x="52"/>
        <item x="74"/>
        <item x="60"/>
        <item x="18"/>
        <item x="89"/>
        <item x="53"/>
        <item x="45"/>
        <item x="49"/>
        <item x="38"/>
        <item x="71"/>
        <item x="118"/>
        <item x="13"/>
        <item x="25"/>
        <item x="105"/>
        <item x="37"/>
        <item x="19"/>
        <item x="65"/>
        <item x="110"/>
        <item x="115"/>
        <item x="63"/>
        <item x="67"/>
        <item x="111"/>
        <item x="56"/>
        <item x="92"/>
        <item x="83"/>
        <item x="3"/>
        <item x="113"/>
        <item x="99"/>
        <item x="22"/>
        <item x="94"/>
        <item x="39"/>
        <item x="79"/>
        <item x="96"/>
        <item x="54"/>
        <item x="90"/>
        <item x="27"/>
        <item x="31"/>
        <item x="100"/>
        <item x="84"/>
        <item x="1"/>
        <item x="40"/>
        <item x="106"/>
        <item x="20"/>
        <item x="15"/>
        <item x="7"/>
        <item x="58"/>
        <item x="75"/>
        <item x="0"/>
        <item x="70"/>
        <item x="55"/>
        <item x="47"/>
        <item x="117"/>
        <item x="23"/>
        <item x="119"/>
        <item x="86"/>
        <item x="36"/>
        <item x="112"/>
        <item x="69"/>
        <item x="14"/>
        <item x="64"/>
        <item x="95"/>
        <item x="81"/>
        <item x="28"/>
        <item x="2"/>
        <item x="4"/>
        <item x="9"/>
        <item x="5"/>
        <item x="42"/>
        <item x="61"/>
        <item x="116"/>
        <item x="21"/>
        <item x="114"/>
        <item x="66"/>
        <item x="11"/>
        <item x="80"/>
        <item x="6"/>
        <item x="78"/>
      </items>
    </pivotField>
    <pivotField axis="axisRow" showAll="0" defaultSubtotal="0">
      <items count="120">
        <item x="64"/>
        <item x="116"/>
        <item x="49"/>
        <item x="66"/>
        <item x="45"/>
        <item x="70"/>
        <item x="72"/>
        <item x="105"/>
        <item x="69"/>
        <item x="39"/>
        <item x="51"/>
        <item x="36"/>
        <item x="112"/>
        <item x="43"/>
        <item x="100"/>
        <item x="107"/>
        <item x="95"/>
        <item x="113"/>
        <item x="35"/>
        <item x="84"/>
        <item x="85"/>
        <item x="89"/>
        <item x="24"/>
        <item x="114"/>
        <item x="101"/>
        <item x="53"/>
        <item x="52"/>
        <item x="74"/>
        <item x="44"/>
        <item x="73"/>
        <item x="106"/>
        <item x="33"/>
        <item x="108"/>
        <item x="75"/>
        <item x="86"/>
        <item x="96"/>
        <item x="17"/>
        <item x="46"/>
        <item x="22"/>
        <item x="50"/>
        <item x="76"/>
        <item x="109"/>
        <item x="97"/>
        <item x="102"/>
        <item x="29"/>
        <item x="31"/>
        <item x="28"/>
        <item x="27"/>
        <item x="38"/>
        <item x="26"/>
        <item x="37"/>
        <item x="23"/>
        <item x="59"/>
        <item x="20"/>
        <item x="55"/>
        <item x="42"/>
        <item x="60"/>
        <item x="32"/>
        <item x="93"/>
        <item x="90"/>
        <item x="83"/>
        <item x="48"/>
        <item x="16"/>
        <item x="63"/>
        <item x="77"/>
        <item x="103"/>
        <item x="41"/>
        <item x="81"/>
        <item x="94"/>
        <item x="104"/>
        <item x="56"/>
        <item x="7"/>
        <item x="117"/>
        <item x="61"/>
        <item x="9"/>
        <item x="5"/>
        <item x="0"/>
        <item x="47"/>
        <item x="4"/>
        <item x="111"/>
        <item x="115"/>
        <item x="21"/>
        <item x="13"/>
        <item x="30"/>
        <item x="18"/>
        <item x="12"/>
        <item x="25"/>
        <item x="14"/>
        <item x="80"/>
        <item x="82"/>
        <item x="87"/>
        <item x="54"/>
        <item x="1"/>
        <item x="88"/>
        <item x="62"/>
        <item x="3"/>
        <item x="10"/>
        <item x="34"/>
        <item x="110"/>
        <item x="40"/>
        <item x="11"/>
        <item x="2"/>
        <item x="57"/>
        <item x="58"/>
        <item x="118"/>
        <item x="91"/>
        <item x="92"/>
        <item x="68"/>
        <item x="8"/>
        <item x="19"/>
        <item x="6"/>
        <item x="65"/>
        <item x="78"/>
        <item x="79"/>
        <item x="98"/>
        <item x="67"/>
        <item x="119"/>
        <item x="71"/>
        <item x="15"/>
        <item x="9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418">
        <item x="417"/>
        <item x="331"/>
        <item x="330"/>
        <item x="415"/>
        <item x="329"/>
        <item x="414"/>
        <item x="413"/>
        <item x="416"/>
        <item x="412"/>
        <item x="328"/>
        <item x="327"/>
        <item x="407"/>
        <item x="406"/>
        <item x="405"/>
        <item x="326"/>
        <item x="325"/>
        <item x="410"/>
        <item x="404"/>
        <item x="409"/>
        <item x="381"/>
        <item x="380"/>
        <item x="379"/>
        <item x="391"/>
        <item x="378"/>
        <item x="377"/>
        <item x="390"/>
        <item x="376"/>
        <item x="375"/>
        <item x="374"/>
        <item x="389"/>
        <item x="399"/>
        <item x="370"/>
        <item x="373"/>
        <item x="401"/>
        <item x="388"/>
        <item x="396"/>
        <item x="395"/>
        <item x="365"/>
        <item x="364"/>
        <item x="398"/>
        <item x="369"/>
        <item x="363"/>
        <item x="394"/>
        <item x="362"/>
        <item x="361"/>
        <item x="360"/>
        <item x="403"/>
        <item x="359"/>
        <item x="387"/>
        <item x="358"/>
        <item x="347"/>
        <item x="346"/>
        <item x="345"/>
        <item x="344"/>
        <item x="343"/>
        <item x="357"/>
        <item x="342"/>
        <item x="368"/>
        <item x="286"/>
        <item x="285"/>
        <item x="284"/>
        <item x="283"/>
        <item x="354"/>
        <item x="353"/>
        <item x="341"/>
        <item x="282"/>
        <item x="281"/>
        <item x="372"/>
        <item x="384"/>
        <item x="280"/>
        <item x="279"/>
        <item x="278"/>
        <item x="352"/>
        <item x="383"/>
        <item x="367"/>
        <item x="393"/>
        <item x="340"/>
        <item x="339"/>
        <item x="338"/>
        <item x="351"/>
        <item x="366"/>
        <item x="272"/>
        <item x="402"/>
        <item x="350"/>
        <item x="271"/>
        <item x="349"/>
        <item x="191"/>
        <item x="270"/>
        <item x="392"/>
        <item x="371"/>
        <item x="337"/>
        <item x="356"/>
        <item x="400"/>
        <item x="243"/>
        <item x="277"/>
        <item x="157"/>
        <item x="156"/>
        <item x="269"/>
        <item x="382"/>
        <item x="397"/>
        <item x="411"/>
        <item x="336"/>
        <item x="276"/>
        <item x="155"/>
        <item x="268"/>
        <item x="318"/>
        <item x="154"/>
        <item x="267"/>
        <item x="190"/>
        <item x="153"/>
        <item x="129"/>
        <item x="171"/>
        <item x="128"/>
        <item x="127"/>
        <item x="170"/>
        <item x="126"/>
        <item x="125"/>
        <item x="189"/>
        <item x="180"/>
        <item x="188"/>
        <item x="124"/>
        <item x="242"/>
        <item x="386"/>
        <item x="408"/>
        <item x="123"/>
        <item x="122"/>
        <item x="187"/>
        <item x="169"/>
        <item x="294"/>
        <item x="121"/>
        <item x="317"/>
        <item x="120"/>
        <item x="385"/>
        <item x="186"/>
        <item x="168"/>
        <item x="119"/>
        <item x="118"/>
        <item x="293"/>
        <item x="179"/>
        <item x="241"/>
        <item x="185"/>
        <item x="57"/>
        <item x="275"/>
        <item x="56"/>
        <item x="152"/>
        <item x="151"/>
        <item x="145"/>
        <item x="265"/>
        <item x="150"/>
        <item x="167"/>
        <item x="274"/>
        <item x="117"/>
        <item x="144"/>
        <item x="166"/>
        <item x="292"/>
        <item x="165"/>
        <item x="257"/>
        <item x="164"/>
        <item x="240"/>
        <item x="178"/>
        <item x="143"/>
        <item x="149"/>
        <item x="163"/>
        <item x="335"/>
        <item x="324"/>
        <item x="311"/>
        <item x="148"/>
        <item x="162"/>
        <item x="264"/>
        <item x="142"/>
        <item x="256"/>
        <item x="255"/>
        <item x="141"/>
        <item x="77"/>
        <item x="304"/>
        <item x="55"/>
        <item x="207"/>
        <item x="140"/>
        <item x="254"/>
        <item x="206"/>
        <item x="161"/>
        <item x="323"/>
        <item x="253"/>
        <item x="116"/>
        <item x="316"/>
        <item x="76"/>
        <item x="54"/>
        <item x="184"/>
        <item x="303"/>
        <item x="53"/>
        <item x="263"/>
        <item x="75"/>
        <item x="302"/>
        <item x="310"/>
        <item x="115"/>
        <item x="309"/>
        <item x="205"/>
        <item x="223"/>
        <item x="291"/>
        <item x="139"/>
        <item x="177"/>
        <item x="204"/>
        <item x="52"/>
        <item x="138"/>
        <item x="112"/>
        <item x="334"/>
        <item x="322"/>
        <item x="262"/>
        <item x="301"/>
        <item x="315"/>
        <item x="51"/>
        <item x="137"/>
        <item x="136"/>
        <item x="222"/>
        <item x="203"/>
        <item x="300"/>
        <item x="111"/>
        <item x="266"/>
        <item x="202"/>
        <item x="74"/>
        <item x="73"/>
        <item x="95"/>
        <item x="50"/>
        <item x="94"/>
        <item x="333"/>
        <item x="176"/>
        <item x="49"/>
        <item x="93"/>
        <item x="261"/>
        <item x="221"/>
        <item x="147"/>
        <item x="220"/>
        <item x="252"/>
        <item x="219"/>
        <item x="160"/>
        <item x="72"/>
        <item x="71"/>
        <item x="92"/>
        <item x="114"/>
        <item x="70"/>
        <item x="238"/>
        <item x="260"/>
        <item x="110"/>
        <item x="201"/>
        <item x="109"/>
        <item x="108"/>
        <item x="175"/>
        <item x="299"/>
        <item x="237"/>
        <item x="91"/>
        <item x="200"/>
        <item x="199"/>
        <item x="236"/>
        <item x="159"/>
        <item x="48"/>
        <item x="69"/>
        <item x="290"/>
        <item x="218"/>
        <item x="259"/>
        <item x="146"/>
        <item x="321"/>
        <item x="217"/>
        <item x="235"/>
        <item x="107"/>
        <item x="198"/>
        <item x="183"/>
        <item x="197"/>
        <item x="158"/>
        <item x="182"/>
        <item x="273"/>
        <item x="234"/>
        <item x="106"/>
        <item x="298"/>
        <item x="105"/>
        <item x="174"/>
        <item x="251"/>
        <item x="289"/>
        <item x="250"/>
        <item x="258"/>
        <item x="314"/>
        <item x="216"/>
        <item x="233"/>
        <item x="90"/>
        <item x="232"/>
        <item x="135"/>
        <item x="68"/>
        <item x="67"/>
        <item x="104"/>
        <item x="313"/>
        <item x="47"/>
        <item x="89"/>
        <item x="249"/>
        <item x="215"/>
        <item x="288"/>
        <item x="66"/>
        <item x="248"/>
        <item x="297"/>
        <item x="308"/>
        <item x="46"/>
        <item x="231"/>
        <item x="134"/>
        <item x="65"/>
        <item x="88"/>
        <item x="230"/>
        <item x="45"/>
        <item x="64"/>
        <item x="214"/>
        <item x="63"/>
        <item x="229"/>
        <item x="87"/>
        <item x="44"/>
        <item x="173"/>
        <item x="320"/>
        <item x="247"/>
        <item x="228"/>
        <item x="196"/>
        <item x="307"/>
        <item x="348"/>
        <item x="86"/>
        <item x="332"/>
        <item x="85"/>
        <item x="62"/>
        <item x="103"/>
        <item x="133"/>
        <item x="227"/>
        <item x="61"/>
        <item x="226"/>
        <item x="102"/>
        <item x="246"/>
        <item x="43"/>
        <item x="101"/>
        <item x="213"/>
        <item x="42"/>
        <item x="306"/>
        <item x="100"/>
        <item x="195"/>
        <item x="194"/>
        <item x="296"/>
        <item x="245"/>
        <item x="355"/>
        <item x="212"/>
        <item x="225"/>
        <item x="132"/>
        <item x="211"/>
        <item x="99"/>
        <item x="60"/>
        <item x="210"/>
        <item x="84"/>
        <item x="193"/>
        <item x="287"/>
        <item x="41"/>
        <item x="59"/>
        <item x="58"/>
        <item x="83"/>
        <item x="82"/>
        <item x="131"/>
        <item x="130"/>
        <item x="181"/>
        <item x="98"/>
        <item x="81"/>
        <item x="40"/>
        <item x="312"/>
        <item x="39"/>
        <item x="224"/>
        <item x="80"/>
        <item x="97"/>
        <item x="79"/>
        <item x="113"/>
        <item x="305"/>
        <item x="319"/>
        <item x="209"/>
        <item x="78"/>
        <item x="295"/>
        <item x="239"/>
        <item x="96"/>
        <item x="172"/>
        <item x="208"/>
        <item x="192"/>
        <item x="244"/>
        <item x="38"/>
        <item x="37"/>
        <item x="36"/>
        <item x="35"/>
        <item x="34"/>
        <item x="33"/>
        <item x="32"/>
        <item x="19"/>
        <item x="31"/>
        <item x="18"/>
        <item x="30"/>
        <item x="17"/>
        <item x="16"/>
        <item x="15"/>
        <item x="29"/>
        <item x="14"/>
        <item x="13"/>
        <item x="28"/>
        <item x="27"/>
        <item x="26"/>
        <item x="12"/>
        <item x="11"/>
        <item x="10"/>
        <item x="9"/>
        <item x="8"/>
        <item x="7"/>
        <item x="25"/>
        <item x="24"/>
        <item x="23"/>
        <item x="22"/>
        <item x="6"/>
        <item x="5"/>
        <item x="4"/>
        <item x="3"/>
        <item x="21"/>
        <item x="2"/>
        <item x="1"/>
        <item x="20"/>
        <item x="0"/>
      </items>
    </pivotField>
    <pivotField dataField="1" showAll="0" defaultSubtotal="0">
      <items count="362">
        <item x="361"/>
        <item x="271"/>
        <item x="52"/>
        <item x="130"/>
        <item x="51"/>
        <item x="227"/>
        <item x="214"/>
        <item x="270"/>
        <item x="141"/>
        <item x="118"/>
        <item x="209"/>
        <item x="129"/>
        <item x="140"/>
        <item x="117"/>
        <item x="148"/>
        <item x="128"/>
        <item x="139"/>
        <item x="66"/>
        <item x="127"/>
        <item x="116"/>
        <item x="255"/>
        <item x="18"/>
        <item x="126"/>
        <item x="184"/>
        <item x="36"/>
        <item x="17"/>
        <item x="16"/>
        <item x="15"/>
        <item x="50"/>
        <item x="138"/>
        <item x="14"/>
        <item x="81"/>
        <item x="35"/>
        <item x="34"/>
        <item x="96"/>
        <item x="13"/>
        <item x="12"/>
        <item x="222"/>
        <item x="33"/>
        <item x="49"/>
        <item x="32"/>
        <item x="125"/>
        <item x="80"/>
        <item x="124"/>
        <item x="108"/>
        <item x="31"/>
        <item x="95"/>
        <item x="195"/>
        <item x="107"/>
        <item x="194"/>
        <item x="79"/>
        <item x="147"/>
        <item x="106"/>
        <item x="146"/>
        <item x="30"/>
        <item x="183"/>
        <item x="29"/>
        <item x="11"/>
        <item x="65"/>
        <item x="115"/>
        <item x="137"/>
        <item x="10"/>
        <item x="48"/>
        <item x="105"/>
        <item x="94"/>
        <item x="93"/>
        <item x="92"/>
        <item x="182"/>
        <item x="114"/>
        <item x="113"/>
        <item x="104"/>
        <item x="28"/>
        <item x="136"/>
        <item x="47"/>
        <item x="64"/>
        <item x="213"/>
        <item x="123"/>
        <item x="9"/>
        <item x="103"/>
        <item x="102"/>
        <item x="166"/>
        <item x="8"/>
        <item x="27"/>
        <item x="7"/>
        <item x="26"/>
        <item x="122"/>
        <item x="243"/>
        <item x="63"/>
        <item x="135"/>
        <item x="312"/>
        <item x="212"/>
        <item x="154"/>
        <item x="175"/>
        <item x="193"/>
        <item x="261"/>
        <item x="78"/>
        <item x="203"/>
        <item x="239"/>
        <item x="91"/>
        <item x="25"/>
        <item x="251"/>
        <item x="46"/>
        <item x="192"/>
        <item x="191"/>
        <item x="242"/>
        <item x="304"/>
        <item x="77"/>
        <item x="208"/>
        <item x="174"/>
        <item x="173"/>
        <item x="311"/>
        <item x="181"/>
        <item x="165"/>
        <item x="6"/>
        <item x="90"/>
        <item x="347"/>
        <item x="89"/>
        <item x="153"/>
        <item x="76"/>
        <item x="260"/>
        <item x="202"/>
        <item x="238"/>
        <item x="254"/>
        <item x="259"/>
        <item x="201"/>
        <item x="62"/>
        <item x="5"/>
        <item x="61"/>
        <item x="288"/>
        <item x="145"/>
        <item x="263"/>
        <item x="218"/>
        <item x="75"/>
        <item x="296"/>
        <item x="159"/>
        <item x="74"/>
        <item x="60"/>
        <item x="4"/>
        <item x="258"/>
        <item x="24"/>
        <item x="207"/>
        <item x="23"/>
        <item x="101"/>
        <item x="3"/>
        <item x="180"/>
        <item x="200"/>
        <item x="22"/>
        <item x="59"/>
        <item x="310"/>
        <item x="237"/>
        <item x="45"/>
        <item x="217"/>
        <item x="58"/>
        <item x="57"/>
        <item x="279"/>
        <item x="134"/>
        <item x="190"/>
        <item x="303"/>
        <item x="44"/>
        <item x="189"/>
        <item x="21"/>
        <item x="100"/>
        <item x="158"/>
        <item x="211"/>
        <item x="88"/>
        <item x="121"/>
        <item x="172"/>
        <item x="157"/>
        <item x="171"/>
        <item x="43"/>
        <item x="112"/>
        <item x="164"/>
        <item x="221"/>
        <item x="250"/>
        <item x="87"/>
        <item x="278"/>
        <item x="133"/>
        <item x="188"/>
        <item x="99"/>
        <item x="199"/>
        <item x="56"/>
        <item x="257"/>
        <item x="42"/>
        <item x="86"/>
        <item x="198"/>
        <item x="2"/>
        <item x="277"/>
        <item x="282"/>
        <item x="292"/>
        <item x="315"/>
        <item x="269"/>
        <item x="286"/>
        <item x="179"/>
        <item x="360"/>
        <item x="249"/>
        <item x="144"/>
        <item x="132"/>
        <item x="335"/>
        <item x="216"/>
        <item x="268"/>
        <item x="120"/>
        <item x="248"/>
        <item x="305"/>
        <item x="1"/>
        <item x="73"/>
        <item x="224"/>
        <item x="267"/>
        <item x="170"/>
        <item x="41"/>
        <item x="206"/>
        <item x="152"/>
        <item x="187"/>
        <item x="229"/>
        <item x="197"/>
        <item x="156"/>
        <item x="163"/>
        <item x="247"/>
        <item x="20"/>
        <item x="40"/>
        <item x="162"/>
        <item x="98"/>
        <item x="226"/>
        <item x="266"/>
        <item x="85"/>
        <item x="295"/>
        <item x="205"/>
        <item x="169"/>
        <item x="281"/>
        <item x="72"/>
        <item x="359"/>
        <item x="178"/>
        <item x="302"/>
        <item x="241"/>
        <item x="177"/>
        <item x="186"/>
        <item x="234"/>
        <item x="300"/>
        <item x="71"/>
        <item x="253"/>
        <item x="328"/>
        <item x="309"/>
        <item x="246"/>
        <item x="55"/>
        <item x="220"/>
        <item x="70"/>
        <item x="321"/>
        <item x="143"/>
        <item x="256"/>
        <item x="326"/>
        <item x="274"/>
        <item x="111"/>
        <item x="168"/>
        <item x="69"/>
        <item x="276"/>
        <item x="285"/>
        <item x="68"/>
        <item x="54"/>
        <item x="151"/>
        <item x="291"/>
        <item x="150"/>
        <item x="53"/>
        <item x="265"/>
        <item x="84"/>
        <item x="324"/>
        <item x="307"/>
        <item x="325"/>
        <item x="39"/>
        <item x="167"/>
        <item x="290"/>
        <item x="236"/>
        <item x="67"/>
        <item x="341"/>
        <item x="284"/>
        <item x="240"/>
        <item x="299"/>
        <item x="131"/>
        <item x="83"/>
        <item x="333"/>
        <item x="245"/>
        <item x="327"/>
        <item x="161"/>
        <item x="320"/>
        <item x="322"/>
        <item x="298"/>
        <item x="294"/>
        <item x="339"/>
        <item x="287"/>
        <item x="235"/>
        <item x="314"/>
        <item x="319"/>
        <item x="313"/>
        <item x="38"/>
        <item x="110"/>
        <item x="109"/>
        <item x="37"/>
        <item x="346"/>
        <item x="223"/>
        <item x="119"/>
        <item x="264"/>
        <item x="273"/>
        <item x="332"/>
        <item x="343"/>
        <item x="318"/>
        <item x="215"/>
        <item x="306"/>
        <item x="308"/>
        <item x="210"/>
        <item x="297"/>
        <item x="228"/>
        <item x="331"/>
        <item x="350"/>
        <item x="330"/>
        <item x="317"/>
        <item x="272"/>
        <item x="82"/>
        <item x="280"/>
        <item x="289"/>
        <item x="0"/>
        <item x="19"/>
        <item x="353"/>
        <item x="323"/>
        <item x="225"/>
        <item x="196"/>
        <item x="219"/>
        <item x="160"/>
        <item x="352"/>
        <item x="233"/>
        <item x="293"/>
        <item x="329"/>
        <item x="232"/>
        <item x="155"/>
        <item x="356"/>
        <item x="351"/>
        <item x="275"/>
        <item x="262"/>
        <item x="345"/>
        <item x="149"/>
        <item x="338"/>
        <item x="204"/>
        <item x="97"/>
        <item x="358"/>
        <item x="244"/>
        <item x="301"/>
        <item x="283"/>
        <item x="142"/>
        <item x="231"/>
        <item x="334"/>
        <item x="316"/>
        <item x="185"/>
        <item x="230"/>
        <item x="349"/>
        <item x="176"/>
        <item x="344"/>
        <item x="337"/>
        <item x="357"/>
        <item x="355"/>
        <item x="252"/>
        <item x="354"/>
        <item x="342"/>
        <item x="336"/>
        <item x="340"/>
        <item x="348"/>
      </items>
    </pivotField>
    <pivotField dataField="1" showAll="0" defaultSubtotal="0">
      <items count="275">
        <item x="56"/>
        <item x="57"/>
        <item x="68"/>
        <item x="53"/>
        <item x="45"/>
        <item x="47"/>
        <item x="54"/>
        <item x="51"/>
        <item x="69"/>
        <item x="70"/>
        <item x="49"/>
        <item x="72"/>
        <item x="43"/>
        <item x="140"/>
        <item x="94"/>
        <item x="63"/>
        <item x="64"/>
        <item x="139"/>
        <item x="65"/>
        <item x="44"/>
        <item x="76"/>
        <item x="104"/>
        <item x="52"/>
        <item x="152"/>
        <item x="260"/>
        <item x="189"/>
        <item x="98"/>
        <item x="252"/>
        <item x="212"/>
        <item x="46"/>
        <item x="174"/>
        <item x="266"/>
        <item x="267"/>
        <item x="125"/>
        <item x="113"/>
        <item x="259"/>
        <item x="55"/>
        <item x="227"/>
        <item x="199"/>
        <item x="109"/>
        <item x="37"/>
        <item x="243"/>
        <item x="155"/>
        <item x="146"/>
        <item x="154"/>
        <item x="141"/>
        <item x="127"/>
        <item x="168"/>
        <item x="73"/>
        <item x="149"/>
        <item x="226"/>
        <item x="128"/>
        <item x="162"/>
        <item x="258"/>
        <item x="91"/>
        <item x="118"/>
        <item x="206"/>
        <item x="272"/>
        <item x="269"/>
        <item x="220"/>
        <item x="221"/>
        <item x="176"/>
        <item x="17"/>
        <item x="268"/>
        <item x="103"/>
        <item x="263"/>
        <item x="188"/>
        <item x="131"/>
        <item x="225"/>
        <item x="181"/>
        <item x="224"/>
        <item x="204"/>
        <item x="274"/>
        <item x="262"/>
        <item x="202"/>
        <item x="74"/>
        <item x="249"/>
        <item x="218"/>
        <item x="81"/>
        <item x="265"/>
        <item x="116"/>
        <item x="138"/>
        <item x="34"/>
        <item x="101"/>
        <item x="273"/>
        <item x="117"/>
        <item x="264"/>
        <item x="132"/>
        <item x="256"/>
        <item x="178"/>
        <item x="271"/>
        <item x="106"/>
        <item x="211"/>
        <item x="133"/>
        <item x="96"/>
        <item x="167"/>
        <item x="102"/>
        <item x="105"/>
        <item x="18"/>
        <item x="182"/>
        <item x="130"/>
        <item x="210"/>
        <item x="190"/>
        <item x="219"/>
        <item x="107"/>
        <item x="66"/>
        <item x="223"/>
        <item x="50"/>
        <item x="88"/>
        <item x="248"/>
        <item x="111"/>
        <item x="97"/>
        <item x="153"/>
        <item x="58"/>
        <item x="177"/>
        <item x="222"/>
        <item x="120"/>
        <item x="121"/>
        <item x="148"/>
        <item x="245"/>
        <item x="129"/>
        <item x="119"/>
        <item x="126"/>
        <item x="82"/>
        <item x="217"/>
        <item x="136"/>
        <item x="244"/>
        <item x="165"/>
        <item x="187"/>
        <item x="124"/>
        <item x="270"/>
        <item x="40"/>
        <item x="84"/>
        <item x="166"/>
        <item x="137"/>
        <item x="48"/>
        <item x="255"/>
        <item x="100"/>
        <item x="71"/>
        <item x="261"/>
        <item x="122"/>
        <item x="151"/>
        <item x="247"/>
        <item x="147"/>
        <item x="145"/>
        <item x="201"/>
        <item x="209"/>
        <item x="164"/>
        <item x="112"/>
        <item x="203"/>
        <item x="215"/>
        <item x="95"/>
        <item x="185"/>
        <item x="67"/>
        <item x="236"/>
        <item x="208"/>
        <item x="250"/>
        <item x="134"/>
        <item x="173"/>
        <item x="33"/>
        <item x="114"/>
        <item x="216"/>
        <item x="200"/>
        <item x="214"/>
        <item x="123"/>
        <item x="183"/>
        <item x="205"/>
        <item x="83"/>
        <item x="80"/>
        <item x="78"/>
        <item x="144"/>
        <item x="29"/>
        <item x="135"/>
        <item x="115"/>
        <item x="254"/>
        <item x="198"/>
        <item x="150"/>
        <item x="93"/>
        <item x="251"/>
        <item x="196"/>
        <item x="232"/>
        <item x="15"/>
        <item x="197"/>
        <item x="228"/>
        <item x="25"/>
        <item x="61"/>
        <item x="38"/>
        <item x="108"/>
        <item x="230"/>
        <item x="235"/>
        <item x="231"/>
        <item x="143"/>
        <item x="184"/>
        <item x="163"/>
        <item x="160"/>
        <item x="59"/>
        <item x="180"/>
        <item x="89"/>
        <item x="12"/>
        <item x="75"/>
        <item x="207"/>
        <item x="175"/>
        <item x="161"/>
        <item x="229"/>
        <item x="172"/>
        <item x="241"/>
        <item x="4"/>
        <item x="99"/>
        <item x="195"/>
        <item x="234"/>
        <item x="194"/>
        <item x="92"/>
        <item x="79"/>
        <item x="246"/>
        <item x="193"/>
        <item x="242"/>
        <item x="110"/>
        <item x="237"/>
        <item x="85"/>
        <item x="253"/>
        <item x="257"/>
        <item x="27"/>
        <item x="240"/>
        <item x="158"/>
        <item x="213"/>
        <item x="192"/>
        <item x="239"/>
        <item x="179"/>
        <item x="157"/>
        <item x="159"/>
        <item x="233"/>
        <item x="238"/>
        <item x="170"/>
        <item x="86"/>
        <item x="171"/>
        <item x="62"/>
        <item x="90"/>
        <item x="9"/>
        <item x="186"/>
        <item x="60"/>
        <item x="42"/>
        <item x="169"/>
        <item x="87"/>
        <item x="77"/>
        <item x="36"/>
        <item x="156"/>
        <item x="41"/>
        <item x="142"/>
        <item x="191"/>
        <item x="14"/>
        <item x="24"/>
        <item x="5"/>
        <item x="39"/>
        <item x="16"/>
        <item x="28"/>
        <item x="31"/>
        <item x="7"/>
        <item x="35"/>
        <item x="30"/>
        <item x="19"/>
        <item x="8"/>
        <item x="32"/>
        <item x="26"/>
        <item x="13"/>
        <item x="10"/>
        <item x="11"/>
        <item x="23"/>
        <item x="22"/>
        <item x="21"/>
        <item x="6"/>
        <item x="20"/>
        <item x="3"/>
        <item x="1"/>
        <item x="2"/>
        <item x="0"/>
      </items>
    </pivotField>
    <pivotField dataField="1" showAll="0" defaultSubtotal="0">
      <items count="573">
        <item x="52"/>
        <item x="65"/>
        <item x="53"/>
        <item x="17"/>
        <item x="66"/>
        <item x="126"/>
        <item x="353"/>
        <item x="18"/>
        <item x="50"/>
        <item x="111"/>
        <item x="93"/>
        <item x="177"/>
        <item x="42"/>
        <item x="64"/>
        <item x="125"/>
        <item x="198"/>
        <item x="44"/>
        <item x="15"/>
        <item x="151"/>
        <item x="33"/>
        <item x="12"/>
        <item x="29"/>
        <item x="4"/>
        <item x="48"/>
        <item x="25"/>
        <item x="67"/>
        <item x="237"/>
        <item x="95"/>
        <item x="74"/>
        <item x="90"/>
        <item x="477"/>
        <item x="69"/>
        <item x="156"/>
        <item x="132"/>
        <item x="46"/>
        <item x="9"/>
        <item x="344"/>
        <item x="233"/>
        <item x="175"/>
        <item x="27"/>
        <item x="273"/>
        <item x="212"/>
        <item x="40"/>
        <item x="274"/>
        <item x="59"/>
        <item x="315"/>
        <item x="112"/>
        <item x="60"/>
        <item x="397"/>
        <item x="150"/>
        <item x="120"/>
        <item x="283"/>
        <item x="182"/>
        <item x="61"/>
        <item x="102"/>
        <item x="242"/>
        <item x="154"/>
        <item x="324"/>
        <item x="461"/>
        <item x="73"/>
        <item x="285"/>
        <item x="176"/>
        <item x="103"/>
        <item x="191"/>
        <item x="254"/>
        <item x="81"/>
        <item x="311"/>
        <item x="35"/>
        <item x="41"/>
        <item x="295"/>
        <item x="271"/>
        <item x="243"/>
        <item x="14"/>
        <item x="312"/>
        <item x="341"/>
        <item x="194"/>
        <item x="121"/>
        <item x="49"/>
        <item x="566"/>
        <item x="229"/>
        <item x="107"/>
        <item x="369"/>
        <item x="343"/>
        <item x="189"/>
        <item x="83"/>
        <item x="469"/>
        <item x="364"/>
        <item x="275"/>
        <item x="115"/>
        <item x="280"/>
        <item x="179"/>
        <item x="340"/>
        <item x="481"/>
        <item x="454"/>
        <item x="183"/>
        <item x="136"/>
        <item x="440"/>
        <item x="398"/>
        <item x="172"/>
        <item x="528"/>
        <item x="410"/>
        <item x="43"/>
        <item x="428"/>
        <item x="419"/>
        <item x="439"/>
        <item x="203"/>
        <item x="455"/>
        <item x="363"/>
        <item x="91"/>
        <item x="327"/>
        <item x="162"/>
        <item x="362"/>
        <item x="5"/>
        <item x="379"/>
        <item x="564"/>
        <item x="408"/>
        <item x="452"/>
        <item x="436"/>
        <item x="128"/>
        <item x="51"/>
        <item x="525"/>
        <item x="466"/>
        <item x="168"/>
        <item x="249"/>
        <item x="522"/>
        <item x="494"/>
        <item x="137"/>
        <item x="24"/>
        <item x="501"/>
        <item x="245"/>
        <item x="507"/>
        <item x="345"/>
        <item x="70"/>
        <item x="361"/>
        <item x="213"/>
        <item x="493"/>
        <item x="374"/>
        <item x="138"/>
        <item x="155"/>
        <item x="470"/>
        <item x="521"/>
        <item x="146"/>
        <item x="204"/>
        <item x="482"/>
        <item x="286"/>
        <item x="192"/>
        <item x="565"/>
        <item x="248"/>
        <item x="532"/>
        <item x="325"/>
        <item x="342"/>
        <item x="205"/>
        <item x="284"/>
        <item x="483"/>
        <item x="232"/>
        <item x="381"/>
        <item x="438"/>
        <item x="211"/>
        <item x="124"/>
        <item x="294"/>
        <item x="272"/>
        <item x="276"/>
        <item x="462"/>
        <item x="16"/>
        <item x="210"/>
        <item x="417"/>
        <item x="36"/>
        <item x="352"/>
        <item x="127"/>
        <item x="97"/>
        <item x="495"/>
        <item x="446"/>
        <item x="301"/>
        <item x="316"/>
        <item x="476"/>
        <item x="281"/>
        <item x="534"/>
        <item x="228"/>
        <item x="282"/>
        <item x="529"/>
        <item x="427"/>
        <item x="206"/>
        <item x="71"/>
        <item x="166"/>
        <item x="313"/>
        <item x="488"/>
        <item x="140"/>
        <item x="513"/>
        <item x="79"/>
        <item x="287"/>
        <item x="326"/>
        <item x="164"/>
        <item x="399"/>
        <item x="190"/>
        <item x="323"/>
        <item x="163"/>
        <item x="468"/>
        <item x="563"/>
        <item x="322"/>
        <item x="88"/>
        <item x="304"/>
        <item x="267"/>
        <item x="293"/>
        <item x="489"/>
        <item x="370"/>
        <item x="389"/>
        <item x="98"/>
        <item x="378"/>
        <item x="409"/>
        <item x="502"/>
        <item x="207"/>
        <item x="456"/>
        <item x="400"/>
        <item x="526"/>
        <item x="382"/>
        <item x="142"/>
        <item x="371"/>
        <item x="411"/>
        <item x="314"/>
        <item x="268"/>
        <item x="537"/>
        <item x="550"/>
        <item x="7"/>
        <item x="153"/>
        <item x="527"/>
        <item x="498"/>
        <item x="117"/>
        <item x="143"/>
        <item x="178"/>
        <item x="28"/>
        <item x="152"/>
        <item x="514"/>
        <item x="31"/>
        <item x="445"/>
        <item x="543"/>
        <item x="421"/>
        <item x="257"/>
        <item x="214"/>
        <item x="130"/>
        <item x="144"/>
        <item x="234"/>
        <item x="131"/>
        <item x="226"/>
        <item x="266"/>
        <item x="129"/>
        <item x="368"/>
        <item x="141"/>
        <item x="246"/>
        <item x="435"/>
        <item x="380"/>
        <item x="296"/>
        <item x="429"/>
        <item x="442"/>
        <item x="420"/>
        <item x="244"/>
        <item x="437"/>
        <item x="225"/>
        <item x="496"/>
        <item x="19"/>
        <item x="447"/>
        <item x="542"/>
        <item x="101"/>
        <item x="247"/>
        <item x="62"/>
        <item x="418"/>
        <item x="8"/>
        <item x="512"/>
        <item x="201"/>
        <item x="451"/>
        <item x="193"/>
        <item x="269"/>
        <item x="332"/>
        <item x="230"/>
        <item x="167"/>
        <item x="270"/>
        <item x="376"/>
        <item x="231"/>
        <item x="354"/>
        <item x="511"/>
        <item x="391"/>
        <item x="412"/>
        <item x="310"/>
        <item x="490"/>
        <item x="109"/>
        <item x="404"/>
        <item x="165"/>
        <item x="346"/>
        <item x="321"/>
        <item x="54"/>
        <item x="377"/>
        <item x="531"/>
        <item x="96"/>
        <item x="215"/>
        <item x="303"/>
        <item x="110"/>
        <item x="173"/>
        <item x="139"/>
        <item x="106"/>
        <item x="13"/>
        <item x="390"/>
        <item x="34"/>
        <item x="10"/>
        <item x="108"/>
        <item x="259"/>
        <item x="227"/>
        <item x="367"/>
        <item x="30"/>
        <item x="474"/>
        <item x="118"/>
        <item x="433"/>
        <item x="80"/>
        <item x="302"/>
        <item x="241"/>
        <item x="541"/>
        <item x="47"/>
        <item x="387"/>
        <item x="195"/>
        <item x="434"/>
        <item x="453"/>
        <item x="11"/>
        <item x="554"/>
        <item x="113"/>
        <item x="187"/>
        <item x="105"/>
        <item x="240"/>
        <item x="181"/>
        <item x="405"/>
        <item x="359"/>
        <item x="475"/>
        <item x="217"/>
        <item x="562"/>
        <item x="258"/>
        <item x="509"/>
        <item x="265"/>
        <item x="524"/>
        <item x="122"/>
        <item x="549"/>
        <item x="84"/>
        <item x="500"/>
        <item x="161"/>
        <item x="32"/>
        <item x="264"/>
        <item x="94"/>
        <item x="188"/>
        <item x="350"/>
        <item x="386"/>
        <item x="26"/>
        <item x="224"/>
        <item x="535"/>
        <item x="392"/>
        <item x="458"/>
        <item x="330"/>
        <item x="351"/>
        <item x="337"/>
        <item x="506"/>
        <item x="148"/>
        <item x="300"/>
        <item x="68"/>
        <item x="133"/>
        <item x="320"/>
        <item x="415"/>
        <item x="339"/>
        <item x="6"/>
        <item x="202"/>
        <item x="123"/>
        <item x="555"/>
        <item x="510"/>
        <item x="299"/>
        <item x="200"/>
        <item x="459"/>
        <item x="402"/>
        <item x="388"/>
        <item x="360"/>
        <item x="375"/>
        <item x="331"/>
        <item x="403"/>
        <item x="180"/>
        <item x="219"/>
        <item x="533"/>
        <item x="520"/>
        <item x="480"/>
        <item x="309"/>
        <item x="149"/>
        <item x="357"/>
        <item x="279"/>
        <item x="256"/>
        <item x="460"/>
        <item x="499"/>
        <item x="473"/>
        <item x="174"/>
        <item x="536"/>
        <item x="292"/>
        <item x="37"/>
        <item x="278"/>
        <item x="395"/>
        <item x="572"/>
        <item x="305"/>
        <item x="338"/>
        <item x="530"/>
        <item x="239"/>
        <item x="486"/>
        <item x="426"/>
        <item x="114"/>
        <item x="3"/>
        <item x="63"/>
        <item x="45"/>
        <item x="416"/>
        <item x="561"/>
        <item x="160"/>
        <item x="432"/>
        <item x="262"/>
        <item x="238"/>
        <item x="373"/>
        <item x="23"/>
        <item x="216"/>
        <item x="255"/>
        <item x="425"/>
        <item x="308"/>
        <item x="289"/>
        <item x="479"/>
        <item x="291"/>
        <item x="467"/>
        <item x="1"/>
        <item x="329"/>
        <item x="104"/>
        <item x="223"/>
        <item x="134"/>
        <item x="251"/>
        <item x="307"/>
        <item x="185"/>
        <item x="22"/>
        <item x="491"/>
        <item x="298"/>
        <item x="82"/>
        <item x="349"/>
        <item x="135"/>
        <item x="119"/>
        <item x="78"/>
        <item x="306"/>
        <item x="319"/>
        <item x="76"/>
        <item x="100"/>
        <item x="263"/>
        <item x="222"/>
        <item x="186"/>
        <item x="250"/>
        <item x="21"/>
        <item x="366"/>
        <item x="261"/>
        <item x="290"/>
        <item x="553"/>
        <item x="401"/>
        <item x="92"/>
        <item x="444"/>
        <item x="478"/>
        <item x="2"/>
        <item x="253"/>
        <item x="407"/>
        <item x="385"/>
        <item x="492"/>
        <item x="487"/>
        <item x="422"/>
        <item x="394"/>
        <item x="358"/>
        <item x="221"/>
        <item x="288"/>
        <item x="159"/>
        <item x="372"/>
        <item x="393"/>
        <item x="485"/>
        <item x="335"/>
        <item x="197"/>
        <item x="519"/>
        <item x="396"/>
        <item x="450"/>
        <item x="199"/>
        <item x="505"/>
        <item x="464"/>
        <item x="0"/>
        <item x="236"/>
        <item x="318"/>
        <item x="57"/>
        <item x="424"/>
        <item x="158"/>
        <item x="348"/>
        <item x="20"/>
        <item x="147"/>
        <item x="171"/>
        <item x="145"/>
        <item x="218"/>
        <item x="85"/>
        <item x="328"/>
        <item x="557"/>
        <item x="414"/>
        <item x="497"/>
        <item x="423"/>
        <item x="209"/>
        <item x="277"/>
        <item x="449"/>
        <item x="116"/>
        <item x="443"/>
        <item x="518"/>
        <item x="431"/>
        <item x="457"/>
        <item x="297"/>
        <item x="538"/>
        <item x="55"/>
        <item x="448"/>
        <item x="72"/>
        <item x="86"/>
        <item x="347"/>
        <item x="317"/>
        <item x="356"/>
        <item x="384"/>
        <item x="560"/>
        <item x="252"/>
        <item x="504"/>
        <item x="472"/>
        <item x="406"/>
        <item x="89"/>
        <item x="523"/>
        <item x="441"/>
        <item x="484"/>
        <item x="465"/>
        <item x="336"/>
        <item x="517"/>
        <item x="413"/>
        <item x="77"/>
        <item x="170"/>
        <item x="169"/>
        <item x="516"/>
        <item x="196"/>
        <item x="552"/>
        <item x="184"/>
        <item x="383"/>
        <item x="463"/>
        <item x="208"/>
        <item x="515"/>
        <item x="355"/>
        <item x="559"/>
        <item x="99"/>
        <item x="87"/>
        <item x="571"/>
        <item x="503"/>
        <item x="539"/>
        <item x="260"/>
        <item x="58"/>
        <item x="546"/>
        <item x="235"/>
        <item x="471"/>
        <item x="540"/>
        <item x="570"/>
        <item x="558"/>
        <item x="430"/>
        <item x="56"/>
        <item x="568"/>
        <item x="220"/>
        <item x="551"/>
        <item x="157"/>
        <item x="75"/>
        <item x="545"/>
        <item x="569"/>
        <item x="508"/>
        <item x="39"/>
        <item x="38"/>
        <item x="334"/>
        <item x="365"/>
        <item x="333"/>
        <item x="548"/>
        <item x="567"/>
        <item x="544"/>
        <item x="547"/>
        <item x="556"/>
      </items>
    </pivotField>
    <pivotField dataField="1" showAll="0" defaultSubtotal="0">
      <items count="321">
        <item x="320"/>
        <item x="295"/>
        <item x="288"/>
        <item x="294"/>
        <item x="293"/>
        <item x="150"/>
        <item x="234"/>
        <item x="115"/>
        <item x="130"/>
        <item x="309"/>
        <item x="123"/>
        <item x="253"/>
        <item x="246"/>
        <item x="168"/>
        <item x="223"/>
        <item x="238"/>
        <item x="225"/>
        <item x="305"/>
        <item x="102"/>
        <item x="313"/>
        <item x="61"/>
        <item x="203"/>
        <item x="263"/>
        <item x="147"/>
        <item x="149"/>
        <item x="181"/>
        <item x="122"/>
        <item x="187"/>
        <item x="190"/>
        <item x="311"/>
        <item x="299"/>
        <item x="179"/>
        <item x="120"/>
        <item x="245"/>
        <item x="116"/>
        <item x="121"/>
        <item x="142"/>
        <item x="251"/>
        <item x="97"/>
        <item x="306"/>
        <item x="250"/>
        <item x="81"/>
        <item x="87"/>
        <item x="41"/>
        <item x="319"/>
        <item x="73"/>
        <item x="226"/>
        <item x="90"/>
        <item x="138"/>
        <item x="135"/>
        <item x="42"/>
        <item x="139"/>
        <item x="221"/>
        <item x="254"/>
        <item x="275"/>
        <item x="297"/>
        <item x="248"/>
        <item x="256"/>
        <item x="146"/>
        <item x="249"/>
        <item x="239"/>
        <item x="169"/>
        <item x="281"/>
        <item x="312"/>
        <item x="292"/>
        <item x="220"/>
        <item x="163"/>
        <item x="183"/>
        <item x="290"/>
        <item x="152"/>
        <item x="287"/>
        <item x="158"/>
        <item x="117"/>
        <item x="255"/>
        <item x="235"/>
        <item x="162"/>
        <item x="170"/>
        <item x="165"/>
        <item x="104"/>
        <item x="154"/>
        <item x="272"/>
        <item x="201"/>
        <item x="273"/>
        <item x="227"/>
        <item x="182"/>
        <item x="258"/>
        <item x="137"/>
        <item x="106"/>
        <item x="185"/>
        <item x="93"/>
        <item x="173"/>
        <item x="228"/>
        <item x="318"/>
        <item x="242"/>
        <item x="132"/>
        <item x="266"/>
        <item x="144"/>
        <item x="160"/>
        <item x="124"/>
        <item x="171"/>
        <item x="264"/>
        <item x="148"/>
        <item x="112"/>
        <item x="304"/>
        <item x="143"/>
        <item x="284"/>
        <item x="157"/>
        <item x="159"/>
        <item x="118"/>
        <item x="224"/>
        <item x="108"/>
        <item x="302"/>
        <item x="119"/>
        <item x="317"/>
        <item x="198"/>
        <item x="95"/>
        <item x="301"/>
        <item x="180"/>
        <item x="262"/>
        <item x="283"/>
        <item x="205"/>
        <item x="229"/>
        <item x="134"/>
        <item x="89"/>
        <item x="282"/>
        <item x="303"/>
        <item x="315"/>
        <item x="156"/>
        <item x="222"/>
        <item x="49"/>
        <item x="177"/>
        <item x="174"/>
        <item x="237"/>
        <item x="300"/>
        <item x="145"/>
        <item x="155"/>
        <item x="178"/>
        <item x="233"/>
        <item x="107"/>
        <item x="57"/>
        <item x="56"/>
        <item x="243"/>
        <item x="291"/>
        <item x="167"/>
        <item x="140"/>
        <item x="279"/>
        <item x="166"/>
        <item x="308"/>
        <item x="153"/>
        <item x="278"/>
        <item x="261"/>
        <item x="66"/>
        <item x="133"/>
        <item x="141"/>
        <item x="192"/>
        <item x="252"/>
        <item x="260"/>
        <item x="110"/>
        <item x="276"/>
        <item x="75"/>
        <item x="196"/>
        <item x="244"/>
        <item x="176"/>
        <item x="277"/>
        <item x="298"/>
        <item x="113"/>
        <item x="270"/>
        <item x="207"/>
        <item x="199"/>
        <item x="193"/>
        <item x="131"/>
        <item x="289"/>
        <item x="114"/>
        <item x="310"/>
        <item x="55"/>
        <item x="74"/>
        <item x="85"/>
        <item x="232"/>
        <item x="54"/>
        <item x="314"/>
        <item x="129"/>
        <item x="47"/>
        <item x="88"/>
        <item x="127"/>
        <item x="96"/>
        <item x="195"/>
        <item x="269"/>
        <item x="52"/>
        <item x="60"/>
        <item x="109"/>
        <item x="191"/>
        <item x="241"/>
        <item x="53"/>
        <item x="189"/>
        <item x="274"/>
        <item x="91"/>
        <item x="51"/>
        <item x="206"/>
        <item x="231"/>
        <item x="71"/>
        <item x="307"/>
        <item x="316"/>
        <item x="72"/>
        <item x="164"/>
        <item x="175"/>
        <item x="65"/>
        <item x="50"/>
        <item x="92"/>
        <item x="240"/>
        <item x="128"/>
        <item x="188"/>
        <item x="204"/>
        <item x="70"/>
        <item x="209"/>
        <item x="268"/>
        <item x="259"/>
        <item x="69"/>
        <item x="68"/>
        <item x="296"/>
        <item x="105"/>
        <item x="48"/>
        <item x="219"/>
        <item x="202"/>
        <item x="218"/>
        <item x="67"/>
        <item x="286"/>
        <item x="32"/>
        <item x="210"/>
        <item x="100"/>
        <item x="247"/>
        <item x="136"/>
        <item x="280"/>
        <item x="103"/>
        <item x="13"/>
        <item x="126"/>
        <item x="94"/>
        <item x="200"/>
        <item x="59"/>
        <item x="64"/>
        <item x="217"/>
        <item x="216"/>
        <item x="101"/>
        <item x="151"/>
        <item x="46"/>
        <item x="257"/>
        <item x="63"/>
        <item x="62"/>
        <item x="215"/>
        <item x="86"/>
        <item x="213"/>
        <item x="271"/>
        <item x="230"/>
        <item x="214"/>
        <item x="45"/>
        <item x="186"/>
        <item x="84"/>
        <item x="98"/>
        <item x="99"/>
        <item x="212"/>
        <item x="83"/>
        <item x="44"/>
        <item x="267"/>
        <item x="111"/>
        <item x="78"/>
        <item x="172"/>
        <item x="35"/>
        <item x="211"/>
        <item x="43"/>
        <item x="236"/>
        <item x="161"/>
        <item x="58"/>
        <item x="285"/>
        <item x="19"/>
        <item x="40"/>
        <item x="197"/>
        <item x="82"/>
        <item x="265"/>
        <item x="208"/>
        <item x="11"/>
        <item x="125"/>
        <item x="77"/>
        <item x="80"/>
        <item x="79"/>
        <item x="76"/>
        <item x="184"/>
        <item x="194"/>
        <item x="30"/>
        <item x="10"/>
        <item x="26"/>
        <item x="6"/>
        <item x="23"/>
        <item x="39"/>
        <item x="31"/>
        <item x="22"/>
        <item x="3"/>
        <item x="16"/>
        <item x="8"/>
        <item x="2"/>
        <item x="28"/>
        <item x="36"/>
        <item x="7"/>
        <item x="38"/>
        <item x="21"/>
        <item x="37"/>
        <item x="33"/>
        <item x="34"/>
        <item x="14"/>
        <item x="1"/>
        <item x="15"/>
        <item x="18"/>
        <item x="17"/>
        <item x="29"/>
        <item x="27"/>
        <item x="12"/>
        <item x="24"/>
        <item x="9"/>
        <item x="25"/>
        <item x="5"/>
        <item x="4"/>
        <item x="20"/>
        <item x="0"/>
      </items>
    </pivotField>
    <pivotField dataField="1" showAll="0" defaultSubtotal="0">
      <items count="416">
        <item x="340"/>
        <item x="273"/>
        <item x="262"/>
        <item x="122"/>
        <item x="320"/>
        <item x="377"/>
        <item x="385"/>
        <item x="13"/>
        <item x="388"/>
        <item x="31"/>
        <item x="304"/>
        <item x="57"/>
        <item x="160"/>
        <item x="113"/>
        <item x="232"/>
        <item x="183"/>
        <item x="19"/>
        <item x="182"/>
        <item x="34"/>
        <item x="196"/>
        <item x="237"/>
        <item x="11"/>
        <item x="73"/>
        <item x="344"/>
        <item x="215"/>
        <item x="81"/>
        <item x="142"/>
        <item x="89"/>
        <item x="126"/>
        <item x="319"/>
        <item x="65"/>
        <item x="39"/>
        <item x="136"/>
        <item x="121"/>
        <item x="295"/>
        <item x="56"/>
        <item x="354"/>
        <item x="40"/>
        <item x="312"/>
        <item x="337"/>
        <item x="174"/>
        <item x="297"/>
        <item x="10"/>
        <item x="157"/>
        <item x="255"/>
        <item x="29"/>
        <item x="392"/>
        <item x="266"/>
        <item x="261"/>
        <item x="241"/>
        <item x="171"/>
        <item x="222"/>
        <item x="111"/>
        <item x="373"/>
        <item x="84"/>
        <item x="245"/>
        <item x="112"/>
        <item x="299"/>
        <item x="263"/>
        <item x="291"/>
        <item x="209"/>
        <item x="141"/>
        <item x="95"/>
        <item x="300"/>
        <item x="404"/>
        <item x="208"/>
        <item x="6"/>
        <item x="193"/>
        <item x="391"/>
        <item x="342"/>
        <item x="269"/>
        <item x="129"/>
        <item x="98"/>
        <item x="296"/>
        <item x="253"/>
        <item x="220"/>
        <item x="130"/>
        <item x="118"/>
        <item x="79"/>
        <item x="161"/>
        <item x="3"/>
        <item x="280"/>
        <item x="221"/>
        <item x="77"/>
        <item x="234"/>
        <item x="154"/>
        <item x="23"/>
        <item x="134"/>
        <item x="260"/>
        <item x="30"/>
        <item x="16"/>
        <item x="180"/>
        <item x="100"/>
        <item x="149"/>
        <item x="212"/>
        <item x="8"/>
        <item x="22"/>
        <item x="87"/>
        <item x="124"/>
        <item x="190"/>
        <item x="175"/>
        <item x="236"/>
        <item x="2"/>
        <item x="162"/>
        <item x="336"/>
        <item x="144"/>
        <item x="145"/>
        <item x="284"/>
        <item x="243"/>
        <item x="382"/>
        <item x="322"/>
        <item x="289"/>
        <item x="370"/>
        <item x="47"/>
        <item x="185"/>
        <item x="287"/>
        <item x="177"/>
        <item x="309"/>
        <item x="99"/>
        <item x="313"/>
        <item x="53"/>
        <item x="258"/>
        <item x="52"/>
        <item x="307"/>
        <item x="78"/>
        <item x="125"/>
        <item x="27"/>
        <item x="110"/>
        <item x="7"/>
        <item x="246"/>
        <item x="213"/>
        <item x="151"/>
        <item x="239"/>
        <item x="67"/>
        <item x="82"/>
        <item x="102"/>
        <item x="163"/>
        <item x="128"/>
        <item x="137"/>
        <item x="170"/>
        <item x="303"/>
        <item x="80"/>
        <item x="363"/>
        <item x="188"/>
        <item x="148"/>
        <item x="225"/>
        <item x="150"/>
        <item x="324"/>
        <item x="66"/>
        <item x="176"/>
        <item x="83"/>
        <item x="326"/>
        <item x="139"/>
        <item x="132"/>
        <item x="35"/>
        <item x="325"/>
        <item x="51"/>
        <item x="394"/>
        <item x="14"/>
        <item x="274"/>
        <item x="179"/>
        <item x="1"/>
        <item x="135"/>
        <item x="37"/>
        <item x="240"/>
        <item x="45"/>
        <item x="191"/>
        <item x="131"/>
        <item x="146"/>
        <item x="250"/>
        <item x="186"/>
        <item x="101"/>
        <item x="50"/>
        <item x="265"/>
        <item x="184"/>
        <item x="249"/>
        <item x="147"/>
        <item x="21"/>
        <item x="15"/>
        <item x="18"/>
        <item x="317"/>
        <item x="17"/>
        <item x="395"/>
        <item x="383"/>
        <item x="49"/>
        <item x="359"/>
        <item x="36"/>
        <item x="285"/>
        <item x="197"/>
        <item x="104"/>
        <item x="60"/>
        <item x="153"/>
        <item x="32"/>
        <item x="217"/>
        <item x="33"/>
        <item x="116"/>
        <item x="172"/>
        <item x="195"/>
        <item x="286"/>
        <item x="270"/>
        <item x="64"/>
        <item x="120"/>
        <item x="48"/>
        <item x="123"/>
        <item x="259"/>
        <item x="117"/>
        <item x="159"/>
        <item x="63"/>
        <item x="97"/>
        <item x="238"/>
        <item x="62"/>
        <item x="335"/>
        <item x="331"/>
        <item x="143"/>
        <item x="264"/>
        <item x="156"/>
        <item x="173"/>
        <item x="12"/>
        <item x="199"/>
        <item x="294"/>
        <item x="316"/>
        <item x="133"/>
        <item x="61"/>
        <item x="302"/>
        <item x="96"/>
        <item x="257"/>
        <item x="229"/>
        <item x="248"/>
        <item x="330"/>
        <item x="46"/>
        <item x="28"/>
        <item x="207"/>
        <item x="158"/>
        <item x="194"/>
        <item x="216"/>
        <item x="256"/>
        <item x="231"/>
        <item x="9"/>
        <item x="230"/>
        <item x="308"/>
        <item x="343"/>
        <item x="26"/>
        <item x="109"/>
        <item x="169"/>
        <item x="364"/>
        <item x="165"/>
        <item x="355"/>
        <item x="345"/>
        <item x="92"/>
        <item x="282"/>
        <item x="206"/>
        <item x="205"/>
        <item x="119"/>
        <item x="279"/>
        <item x="339"/>
        <item x="168"/>
        <item x="400"/>
        <item x="94"/>
        <item x="301"/>
        <item x="358"/>
        <item x="315"/>
        <item x="329"/>
        <item x="86"/>
        <item x="76"/>
        <item x="55"/>
        <item x="376"/>
        <item x="314"/>
        <item x="59"/>
        <item x="5"/>
        <item x="75"/>
        <item x="283"/>
        <item x="321"/>
        <item x="371"/>
        <item x="214"/>
        <item x="415"/>
        <item x="204"/>
        <item x="24"/>
        <item x="70"/>
        <item x="362"/>
        <item x="192"/>
        <item x="201"/>
        <item x="93"/>
        <item x="375"/>
        <item x="351"/>
        <item x="140"/>
        <item x="367"/>
        <item x="268"/>
        <item x="228"/>
        <item x="347"/>
        <item x="350"/>
        <item x="223"/>
        <item x="203"/>
        <item x="58"/>
        <item x="254"/>
        <item x="44"/>
        <item x="224"/>
        <item x="167"/>
        <item x="244"/>
        <item x="379"/>
        <item x="105"/>
        <item x="202"/>
        <item x="381"/>
        <item x="155"/>
        <item x="25"/>
        <item x="226"/>
        <item x="181"/>
        <item x="108"/>
        <item x="4"/>
        <item x="380"/>
        <item x="200"/>
        <item x="272"/>
        <item x="43"/>
        <item x="227"/>
        <item x="277"/>
        <item x="366"/>
        <item x="107"/>
        <item x="334"/>
        <item x="90"/>
        <item x="91"/>
        <item x="74"/>
        <item x="328"/>
        <item x="374"/>
        <item x="42"/>
        <item x="88"/>
        <item x="393"/>
        <item x="106"/>
        <item x="235"/>
        <item x="306"/>
        <item x="406"/>
        <item x="41"/>
        <item x="387"/>
        <item x="365"/>
        <item x="54"/>
        <item x="311"/>
        <item x="242"/>
        <item x="305"/>
        <item x="69"/>
        <item x="290"/>
        <item x="389"/>
        <item x="72"/>
        <item x="71"/>
        <item x="414"/>
        <item x="281"/>
        <item x="369"/>
        <item x="166"/>
        <item x="349"/>
        <item x="114"/>
        <item x="357"/>
        <item x="333"/>
        <item x="288"/>
        <item x="198"/>
        <item x="38"/>
        <item x="189"/>
        <item x="410"/>
        <item x="396"/>
        <item x="68"/>
        <item x="138"/>
        <item x="127"/>
        <item x="338"/>
        <item x="346"/>
        <item x="267"/>
        <item x="318"/>
        <item x="252"/>
        <item x="372"/>
        <item x="386"/>
        <item x="384"/>
        <item x="219"/>
        <item x="247"/>
        <item x="327"/>
        <item x="399"/>
        <item x="361"/>
        <item x="378"/>
        <item x="85"/>
        <item x="368"/>
        <item x="356"/>
        <item x="20"/>
        <item x="0"/>
        <item x="211"/>
        <item x="293"/>
        <item x="353"/>
        <item x="341"/>
        <item x="271"/>
        <item x="276"/>
        <item x="409"/>
        <item x="402"/>
        <item x="115"/>
        <item x="178"/>
        <item x="152"/>
        <item x="310"/>
        <item x="390"/>
        <item x="251"/>
        <item x="233"/>
        <item x="278"/>
        <item x="411"/>
        <item x="323"/>
        <item x="360"/>
        <item x="407"/>
        <item x="298"/>
        <item x="103"/>
        <item x="397"/>
        <item x="352"/>
        <item x="187"/>
        <item x="348"/>
        <item x="164"/>
        <item x="292"/>
        <item x="403"/>
        <item x="210"/>
        <item x="218"/>
        <item x="332"/>
        <item x="401"/>
        <item x="408"/>
        <item x="275"/>
        <item x="398"/>
        <item x="413"/>
        <item x="405"/>
        <item x="412"/>
      </items>
    </pivotField>
    <pivotField dataField="1" showAll="0" defaultSubtotal="0">
      <items count="17">
        <item x="2"/>
        <item x="3"/>
        <item x="5"/>
        <item x="1"/>
        <item x="0"/>
        <item x="10"/>
        <item x="15"/>
        <item x="8"/>
        <item x="16"/>
        <item x="12"/>
        <item x="7"/>
        <item x="13"/>
        <item x="6"/>
        <item x="11"/>
        <item x="4"/>
        <item x="14"/>
        <item x="9"/>
      </items>
    </pivotField>
  </pivotFields>
  <rowFields count="3">
    <field x="2"/>
    <field x="6"/>
    <field x="5"/>
  </rowFields>
  <rowItems count="1466">
    <i>
      <x/>
    </i>
    <i r="1">
      <x/>
      <x v="76"/>
    </i>
    <i r="1">
      <x v="1"/>
      <x v="92"/>
    </i>
    <i r="1">
      <x v="2"/>
      <x v="101"/>
    </i>
    <i r="1">
      <x v="3"/>
      <x v="95"/>
    </i>
    <i r="1">
      <x v="4"/>
      <x v="78"/>
    </i>
    <i r="1">
      <x v="5"/>
      <x v="75"/>
    </i>
    <i r="1">
      <x v="6"/>
      <x v="110"/>
    </i>
    <i r="1">
      <x v="7"/>
      <x v="71"/>
    </i>
    <i r="1">
      <x v="8"/>
      <x v="108"/>
    </i>
    <i r="1">
      <x v="9"/>
      <x v="74"/>
    </i>
    <i r="1">
      <x v="10"/>
      <x v="96"/>
    </i>
    <i r="1">
      <x v="11"/>
      <x v="100"/>
    </i>
    <i r="1">
      <x v="12"/>
      <x v="85"/>
    </i>
    <i r="1">
      <x v="13"/>
      <x v="82"/>
    </i>
    <i r="1">
      <x v="14"/>
      <x v="87"/>
    </i>
    <i r="1">
      <x v="15"/>
      <x v="118"/>
    </i>
    <i r="1">
      <x v="16"/>
      <x v="62"/>
    </i>
    <i r="1">
      <x v="17"/>
      <x v="36"/>
    </i>
    <i r="1">
      <x v="18"/>
      <x v="84"/>
    </i>
    <i r="1">
      <x v="19"/>
      <x v="109"/>
    </i>
    <i t="blank">
      <x/>
    </i>
    <i>
      <x v="1"/>
    </i>
    <i r="1">
      <x/>
      <x v="76"/>
    </i>
    <i r="1">
      <x v="1"/>
      <x v="92"/>
    </i>
    <i r="1">
      <x v="2"/>
      <x v="101"/>
    </i>
    <i r="1">
      <x v="3"/>
      <x v="95"/>
    </i>
    <i r="1">
      <x v="4"/>
      <x v="75"/>
    </i>
    <i r="1">
      <x v="5"/>
      <x v="78"/>
    </i>
    <i r="1">
      <x v="6"/>
      <x v="110"/>
    </i>
    <i r="1">
      <x v="7"/>
      <x v="74"/>
    </i>
    <i r="1">
      <x v="8"/>
      <x v="71"/>
    </i>
    <i r="1">
      <x v="9"/>
      <x v="85"/>
    </i>
    <i r="1">
      <x v="10"/>
      <x v="96"/>
    </i>
    <i r="1">
      <x v="11"/>
      <x v="108"/>
    </i>
    <i r="1">
      <x v="12"/>
      <x v="82"/>
    </i>
    <i r="1">
      <x v="13"/>
      <x v="118"/>
    </i>
    <i r="1">
      <x v="14"/>
      <x v="84"/>
    </i>
    <i r="1">
      <x v="15"/>
      <x v="100"/>
    </i>
    <i r="1">
      <x v="16"/>
      <x v="87"/>
    </i>
    <i r="1">
      <x v="17"/>
      <x v="36"/>
    </i>
    <i r="1">
      <x v="18"/>
      <x v="53"/>
    </i>
    <i r="2">
      <x v="62"/>
    </i>
    <i t="blank">
      <x v="1"/>
    </i>
    <i>
      <x v="2"/>
    </i>
    <i r="1">
      <x/>
      <x v="75"/>
    </i>
    <i r="1">
      <x v="1"/>
      <x v="81"/>
    </i>
    <i r="1">
      <x v="2"/>
      <x v="82"/>
    </i>
    <i r="1">
      <x v="3"/>
      <x v="84"/>
    </i>
    <i r="1">
      <x v="4"/>
      <x v="85"/>
    </i>
    <i r="1">
      <x v="5"/>
      <x v="36"/>
    </i>
    <i r="1">
      <x v="6"/>
      <x v="76"/>
    </i>
    <i r="1">
      <x v="7"/>
      <x v="118"/>
    </i>
    <i r="1">
      <x v="8"/>
      <x v="92"/>
    </i>
    <i r="1">
      <x v="9"/>
      <x v="78"/>
    </i>
    <i r="1">
      <x v="10"/>
      <x v="95"/>
    </i>
    <i r="1">
      <x v="11"/>
      <x v="74"/>
    </i>
    <i r="1">
      <x v="12"/>
      <x v="38"/>
    </i>
    <i r="2">
      <x v="87"/>
    </i>
    <i r="1">
      <x v="14"/>
      <x v="53"/>
    </i>
    <i r="1">
      <x v="15"/>
      <x v="51"/>
    </i>
    <i r="1">
      <x v="16"/>
      <x v="22"/>
    </i>
    <i r="1">
      <x v="17"/>
      <x v="71"/>
    </i>
    <i r="1">
      <x v="18"/>
      <x v="86"/>
    </i>
    <i r="1">
      <x v="19"/>
      <x v="49"/>
    </i>
    <i t="blank">
      <x v="2"/>
    </i>
    <i>
      <x v="3"/>
    </i>
    <i r="1">
      <x/>
      <x v="75"/>
    </i>
    <i r="1">
      <x v="1"/>
      <x v="92"/>
    </i>
    <i r="1">
      <x v="2"/>
      <x v="82"/>
    </i>
    <i r="1">
      <x v="3"/>
      <x v="96"/>
    </i>
    <i r="1">
      <x v="4"/>
      <x v="81"/>
    </i>
    <i r="1">
      <x v="5"/>
      <x v="85"/>
    </i>
    <i r="1">
      <x v="6"/>
      <x v="76"/>
    </i>
    <i r="1">
      <x v="7"/>
      <x v="84"/>
    </i>
    <i r="1">
      <x v="8"/>
      <x v="118"/>
    </i>
    <i r="1">
      <x v="9"/>
      <x v="71"/>
    </i>
    <i r="1">
      <x v="10"/>
      <x v="95"/>
    </i>
    <i r="1">
      <x v="11"/>
      <x v="78"/>
    </i>
    <i r="1">
      <x v="12"/>
      <x v="36"/>
    </i>
    <i r="1">
      <x v="13"/>
      <x v="74"/>
    </i>
    <i r="1">
      <x v="14"/>
      <x v="53"/>
    </i>
    <i r="1">
      <x v="15"/>
      <x v="22"/>
    </i>
    <i r="1">
      <x v="16"/>
      <x v="47"/>
    </i>
    <i r="1">
      <x v="17"/>
      <x v="109"/>
    </i>
    <i r="1">
      <x v="18"/>
      <x v="46"/>
    </i>
    <i r="1">
      <x v="19"/>
      <x v="44"/>
    </i>
    <i t="blank">
      <x v="3"/>
    </i>
    <i>
      <x v="4"/>
    </i>
    <i r="1">
      <x/>
      <x v="76"/>
    </i>
    <i r="1">
      <x v="1"/>
      <x v="75"/>
    </i>
    <i r="1">
      <x v="2"/>
      <x v="92"/>
    </i>
    <i r="1">
      <x v="3"/>
      <x v="85"/>
    </i>
    <i r="1">
      <x v="4"/>
      <x v="84"/>
    </i>
    <i r="1">
      <x v="5"/>
      <x v="81"/>
    </i>
    <i r="1">
      <x v="6"/>
      <x v="118"/>
    </i>
    <i r="1">
      <x v="7"/>
      <x v="74"/>
    </i>
    <i r="1">
      <x v="8"/>
      <x v="78"/>
    </i>
    <i r="1">
      <x v="9"/>
      <x v="95"/>
    </i>
    <i r="1">
      <x v="10"/>
      <x v="36"/>
    </i>
    <i r="1">
      <x v="11"/>
      <x v="82"/>
    </i>
    <i r="1">
      <x v="12"/>
      <x v="96"/>
    </i>
    <i r="1">
      <x v="13"/>
      <x v="71"/>
    </i>
    <i r="1">
      <x v="14"/>
      <x v="101"/>
    </i>
    <i r="1">
      <x v="15"/>
      <x v="87"/>
    </i>
    <i r="2">
      <x v="109"/>
    </i>
    <i r="1">
      <x v="17"/>
      <x v="83"/>
    </i>
    <i r="1">
      <x v="18"/>
      <x v="86"/>
    </i>
    <i r="1">
      <x v="19"/>
      <x v="110"/>
    </i>
    <i t="blank">
      <x v="4"/>
    </i>
    <i>
      <x v="5"/>
    </i>
    <i r="1">
      <x/>
      <x v="76"/>
    </i>
    <i r="1">
      <x v="1"/>
      <x v="92"/>
    </i>
    <i r="1">
      <x v="2"/>
      <x v="96"/>
    </i>
    <i r="1">
      <x v="3"/>
      <x v="75"/>
    </i>
    <i r="1">
      <x v="4"/>
      <x v="95"/>
    </i>
    <i r="1">
      <x v="5"/>
      <x v="82"/>
    </i>
    <i r="1">
      <x v="6"/>
      <x v="78"/>
    </i>
    <i r="1">
      <x v="7"/>
      <x v="74"/>
    </i>
    <i r="1">
      <x v="8"/>
      <x v="87"/>
    </i>
    <i r="1">
      <x v="9"/>
      <x v="85"/>
    </i>
    <i r="1">
      <x v="10"/>
      <x v="81"/>
    </i>
    <i r="1">
      <x v="11"/>
      <x v="36"/>
    </i>
    <i r="1">
      <x v="12"/>
      <x v="110"/>
    </i>
    <i r="1">
      <x v="13"/>
      <x v="84"/>
    </i>
    <i r="1">
      <x v="14"/>
      <x v="118"/>
    </i>
    <i r="1">
      <x v="15"/>
      <x v="101"/>
    </i>
    <i r="1">
      <x v="16"/>
      <x v="71"/>
    </i>
    <i r="1">
      <x v="17"/>
      <x v="108"/>
    </i>
    <i r="1">
      <x v="18"/>
      <x v="22"/>
    </i>
    <i r="1">
      <x v="19"/>
      <x v="83"/>
    </i>
    <i t="blank">
      <x v="5"/>
    </i>
    <i>
      <x v="6"/>
    </i>
    <i r="1">
      <x/>
      <x v="76"/>
    </i>
    <i r="1">
      <x v="1"/>
      <x v="92"/>
    </i>
    <i r="1">
      <x v="2"/>
      <x v="75"/>
    </i>
    <i r="1">
      <x v="3"/>
      <x v="78"/>
    </i>
    <i r="1">
      <x v="4"/>
      <x v="22"/>
    </i>
    <i r="1">
      <x v="5"/>
      <x v="85"/>
    </i>
    <i r="1">
      <x v="6"/>
      <x v="82"/>
    </i>
    <i r="1">
      <x v="7"/>
      <x v="95"/>
    </i>
    <i r="2">
      <x v="108"/>
    </i>
    <i r="1">
      <x v="9"/>
      <x v="84"/>
    </i>
    <i r="1">
      <x v="10"/>
      <x v="71"/>
    </i>
    <i r="1">
      <x v="11"/>
      <x v="87"/>
    </i>
    <i r="1">
      <x v="12"/>
      <x v="74"/>
    </i>
    <i r="1">
      <x v="13"/>
      <x v="101"/>
    </i>
    <i r="1">
      <x v="14"/>
      <x v="110"/>
    </i>
    <i r="1">
      <x v="15"/>
      <x v="96"/>
    </i>
    <i r="1">
      <x v="16"/>
      <x v="38"/>
    </i>
    <i r="1">
      <x v="17"/>
      <x v="53"/>
    </i>
    <i r="1">
      <x v="18"/>
      <x v="109"/>
    </i>
    <i r="1">
      <x v="19"/>
      <x v="118"/>
    </i>
    <i t="blank">
      <x v="6"/>
    </i>
    <i>
      <x v="7"/>
    </i>
    <i r="1">
      <x/>
      <x v="76"/>
    </i>
    <i r="1">
      <x v="1"/>
      <x v="53"/>
    </i>
    <i r="1">
      <x v="2"/>
      <x v="92"/>
    </i>
    <i r="1">
      <x v="3"/>
      <x v="75"/>
    </i>
    <i r="1">
      <x v="4"/>
      <x v="71"/>
    </i>
    <i r="1">
      <x v="5"/>
      <x v="95"/>
    </i>
    <i r="1">
      <x v="6"/>
      <x v="45"/>
    </i>
    <i r="1">
      <x v="7"/>
      <x v="22"/>
    </i>
    <i r="1">
      <x v="8"/>
      <x v="96"/>
    </i>
    <i r="1">
      <x v="9"/>
      <x v="82"/>
    </i>
    <i r="1">
      <x v="10"/>
      <x v="57"/>
    </i>
    <i r="1">
      <x v="11"/>
      <x v="78"/>
    </i>
    <i r="1">
      <x v="12"/>
      <x v="36"/>
    </i>
    <i r="1">
      <x v="13"/>
      <x v="62"/>
    </i>
    <i r="1">
      <x v="14"/>
      <x v="74"/>
    </i>
    <i r="1">
      <x v="15"/>
      <x v="31"/>
    </i>
    <i r="1">
      <x v="16"/>
      <x v="97"/>
    </i>
    <i r="1">
      <x v="17"/>
      <x v="110"/>
    </i>
    <i r="1">
      <x v="18"/>
      <x v="101"/>
    </i>
    <i r="1">
      <x v="19"/>
      <x v="118"/>
    </i>
    <i t="blank">
      <x v="7"/>
    </i>
    <i>
      <x v="8"/>
    </i>
    <i r="1">
      <x/>
      <x v="76"/>
    </i>
    <i r="1">
      <x v="1"/>
      <x v="92"/>
    </i>
    <i r="1">
      <x v="2"/>
      <x v="95"/>
    </i>
    <i r="1">
      <x v="3"/>
      <x v="101"/>
    </i>
    <i r="1">
      <x v="4"/>
      <x v="22"/>
    </i>
    <i r="1">
      <x v="5"/>
      <x v="53"/>
    </i>
    <i r="1">
      <x v="6"/>
      <x v="110"/>
    </i>
    <i r="1">
      <x v="7"/>
      <x v="75"/>
    </i>
    <i r="1">
      <x v="8"/>
      <x v="18"/>
    </i>
    <i r="1">
      <x v="9"/>
      <x v="78"/>
    </i>
    <i r="1">
      <x v="10"/>
      <x v="100"/>
    </i>
    <i r="1">
      <x v="11"/>
      <x v="71"/>
    </i>
    <i r="1">
      <x v="12"/>
      <x v="96"/>
    </i>
    <i r="1">
      <x v="13"/>
      <x v="74"/>
    </i>
    <i r="1">
      <x v="14"/>
      <x v="62"/>
    </i>
    <i r="1">
      <x v="15"/>
      <x v="108"/>
    </i>
    <i r="1">
      <x v="16"/>
      <x v="97"/>
    </i>
    <i r="1">
      <x v="17"/>
      <x v="11"/>
    </i>
    <i r="1">
      <x v="18"/>
      <x v="109"/>
    </i>
    <i r="1">
      <x v="19"/>
      <x v="50"/>
    </i>
    <i t="blank">
      <x v="8"/>
    </i>
    <i>
      <x v="9"/>
    </i>
    <i r="1">
      <x/>
      <x v="76"/>
    </i>
    <i r="1">
      <x v="1"/>
      <x v="92"/>
    </i>
    <i r="1">
      <x v="2"/>
      <x v="95"/>
    </i>
    <i r="1">
      <x v="3"/>
      <x v="22"/>
    </i>
    <i r="2">
      <x v="101"/>
    </i>
    <i r="1">
      <x v="5"/>
      <x v="110"/>
    </i>
    <i r="1">
      <x v="6"/>
      <x v="100"/>
    </i>
    <i r="1">
      <x v="7"/>
      <x v="46"/>
    </i>
    <i r="1">
      <x v="8"/>
      <x v="78"/>
    </i>
    <i r="1">
      <x v="9"/>
      <x v="62"/>
    </i>
    <i r="1">
      <x v="10"/>
      <x v="71"/>
    </i>
    <i r="1">
      <x v="11"/>
      <x v="75"/>
    </i>
    <i r="1">
      <x v="12"/>
      <x v="118"/>
    </i>
    <i r="1">
      <x v="13"/>
      <x v="48"/>
    </i>
    <i r="1">
      <x v="14"/>
      <x v="36"/>
    </i>
    <i r="1">
      <x v="15"/>
      <x v="9"/>
    </i>
    <i r="1">
      <x v="16"/>
      <x v="74"/>
    </i>
    <i r="1">
      <x v="17"/>
      <x v="99"/>
    </i>
    <i r="1">
      <x v="18"/>
      <x v="85"/>
    </i>
    <i r="1">
      <x v="19"/>
      <x v="53"/>
    </i>
    <i t="blank">
      <x v="9"/>
    </i>
    <i>
      <x v="10"/>
    </i>
    <i r="1">
      <x/>
      <x v="76"/>
    </i>
    <i r="1">
      <x v="1"/>
      <x v="92"/>
    </i>
    <i r="1">
      <x v="2"/>
      <x v="95"/>
    </i>
    <i r="1">
      <x v="3"/>
      <x v="101"/>
    </i>
    <i r="1">
      <x v="4"/>
      <x v="78"/>
    </i>
    <i r="1">
      <x v="5"/>
      <x v="74"/>
    </i>
    <i r="1">
      <x v="6"/>
      <x v="110"/>
    </i>
    <i r="1">
      <x v="7"/>
      <x v="75"/>
    </i>
    <i r="1">
      <x v="8"/>
      <x v="96"/>
    </i>
    <i r="1">
      <x v="9"/>
      <x v="36"/>
    </i>
    <i r="1">
      <x v="10"/>
      <x v="71"/>
    </i>
    <i r="1">
      <x v="11"/>
      <x v="108"/>
    </i>
    <i r="1">
      <x v="12"/>
      <x v="85"/>
    </i>
    <i r="1">
      <x v="13"/>
      <x v="84"/>
    </i>
    <i r="1">
      <x v="14"/>
      <x v="118"/>
    </i>
    <i r="1">
      <x v="15"/>
      <x v="109"/>
    </i>
    <i r="1">
      <x v="16"/>
      <x v="62"/>
    </i>
    <i r="1">
      <x v="17"/>
      <x v="100"/>
    </i>
    <i r="1">
      <x v="18"/>
      <x v="99"/>
    </i>
    <i r="1">
      <x v="19"/>
      <x v="66"/>
    </i>
    <i t="blank">
      <x v="10"/>
    </i>
    <i>
      <x v="11"/>
    </i>
    <i r="1">
      <x/>
      <x v="76"/>
    </i>
    <i r="1">
      <x v="1"/>
      <x v="101"/>
    </i>
    <i r="1">
      <x v="2"/>
      <x v="92"/>
    </i>
    <i r="1">
      <x v="3"/>
      <x v="78"/>
    </i>
    <i r="1">
      <x v="4"/>
      <x v="75"/>
    </i>
    <i r="1">
      <x v="5"/>
      <x v="71"/>
    </i>
    <i r="1">
      <x v="6"/>
      <x v="110"/>
    </i>
    <i r="1">
      <x v="7"/>
      <x v="55"/>
    </i>
    <i r="1">
      <x v="8"/>
      <x v="85"/>
    </i>
    <i r="1">
      <x v="9"/>
      <x v="74"/>
    </i>
    <i r="1">
      <x v="10"/>
      <x v="84"/>
    </i>
    <i r="2">
      <x v="108"/>
    </i>
    <i r="1">
      <x v="12"/>
      <x v="95"/>
    </i>
    <i r="1">
      <x v="13"/>
      <x v="87"/>
    </i>
    <i r="1">
      <x v="14"/>
      <x v="109"/>
    </i>
    <i r="2">
      <x v="118"/>
    </i>
    <i r="1">
      <x v="16"/>
      <x v="96"/>
    </i>
    <i r="1">
      <x v="17"/>
      <x v="83"/>
    </i>
    <i r="1">
      <x v="18"/>
      <x v="62"/>
    </i>
    <i r="1">
      <x v="19"/>
      <x v="36"/>
    </i>
    <i r="2">
      <x v="99"/>
    </i>
    <i t="blank">
      <x v="11"/>
    </i>
    <i>
      <x v="12"/>
    </i>
    <i r="1">
      <x/>
      <x v="76"/>
    </i>
    <i r="1">
      <x v="1"/>
      <x v="92"/>
    </i>
    <i r="1">
      <x v="2"/>
      <x v="101"/>
    </i>
    <i r="1">
      <x v="3"/>
      <x v="95"/>
    </i>
    <i r="1">
      <x v="4"/>
      <x v="78"/>
    </i>
    <i r="1">
      <x v="5"/>
      <x v="110"/>
    </i>
    <i r="1">
      <x v="6"/>
      <x v="96"/>
    </i>
    <i r="1">
      <x v="7"/>
      <x v="75"/>
    </i>
    <i r="1">
      <x v="8"/>
      <x v="100"/>
    </i>
    <i r="1">
      <x v="9"/>
      <x v="71"/>
    </i>
    <i r="1">
      <x v="10"/>
      <x v="74"/>
    </i>
    <i r="1">
      <x v="11"/>
      <x v="62"/>
    </i>
    <i r="1">
      <x v="12"/>
      <x v="11"/>
    </i>
    <i r="1">
      <x v="13"/>
      <x v="108"/>
    </i>
    <i r="1">
      <x v="14"/>
      <x v="99"/>
    </i>
    <i r="1">
      <x v="15"/>
      <x v="109"/>
    </i>
    <i r="1">
      <x v="16"/>
      <x v="13"/>
    </i>
    <i r="1">
      <x v="17"/>
      <x v="28"/>
    </i>
    <i r="1">
      <x v="18"/>
      <x v="85"/>
    </i>
    <i r="1">
      <x v="19"/>
      <x v="4"/>
    </i>
    <i t="blank">
      <x v="12"/>
    </i>
    <i>
      <x v="13"/>
    </i>
    <i r="1">
      <x/>
      <x v="76"/>
    </i>
    <i r="1">
      <x v="1"/>
      <x v="101"/>
    </i>
    <i r="1">
      <x v="2"/>
      <x v="92"/>
    </i>
    <i r="1">
      <x v="3"/>
      <x v="78"/>
    </i>
    <i r="1">
      <x v="4"/>
      <x v="110"/>
    </i>
    <i r="1">
      <x v="5"/>
      <x v="108"/>
    </i>
    <i r="1">
      <x v="6"/>
      <x v="71"/>
    </i>
    <i r="1">
      <x v="7"/>
      <x v="74"/>
    </i>
    <i r="1">
      <x v="8"/>
      <x v="95"/>
    </i>
    <i r="1">
      <x v="9"/>
      <x v="85"/>
    </i>
    <i r="1">
      <x v="10"/>
      <x v="75"/>
    </i>
    <i r="1">
      <x v="11"/>
      <x v="87"/>
    </i>
    <i r="1">
      <x v="12"/>
      <x v="109"/>
    </i>
    <i r="1">
      <x v="13"/>
      <x v="100"/>
    </i>
    <i r="1">
      <x v="14"/>
      <x v="84"/>
    </i>
    <i r="1">
      <x v="15"/>
      <x v="55"/>
    </i>
    <i r="1">
      <x v="16"/>
      <x v="99"/>
    </i>
    <i r="1">
      <x v="17"/>
      <x v="62"/>
    </i>
    <i r="1">
      <x v="18"/>
      <x v="118"/>
    </i>
    <i r="1">
      <x v="19"/>
      <x v="83"/>
    </i>
    <i t="blank">
      <x v="13"/>
    </i>
    <i>
      <x v="14"/>
    </i>
    <i r="1">
      <x/>
      <x v="76"/>
    </i>
    <i r="1">
      <x v="1"/>
      <x v="101"/>
    </i>
    <i r="1">
      <x v="2"/>
      <x v="92"/>
    </i>
    <i r="1">
      <x v="3"/>
      <x v="75"/>
    </i>
    <i r="1">
      <x v="4"/>
      <x v="74"/>
    </i>
    <i r="2">
      <x v="83"/>
    </i>
    <i r="1">
      <x v="6"/>
      <x v="78"/>
    </i>
    <i r="1">
      <x v="7"/>
      <x v="118"/>
    </i>
    <i r="1">
      <x v="8"/>
      <x v="85"/>
    </i>
    <i r="1">
      <x v="9"/>
      <x v="55"/>
    </i>
    <i r="1">
      <x v="10"/>
      <x v="87"/>
    </i>
    <i r="1">
      <x v="11"/>
      <x v="84"/>
    </i>
    <i r="1">
      <x v="12"/>
      <x v="71"/>
    </i>
    <i r="1">
      <x v="13"/>
      <x v="36"/>
    </i>
    <i r="1">
      <x v="14"/>
      <x v="108"/>
    </i>
    <i r="1">
      <x v="15"/>
      <x v="110"/>
    </i>
    <i r="1">
      <x v="16"/>
      <x v="95"/>
    </i>
    <i r="1">
      <x v="17"/>
      <x v="37"/>
    </i>
    <i r="1">
      <x v="18"/>
      <x v="82"/>
    </i>
    <i r="1">
      <x v="19"/>
      <x v="96"/>
    </i>
    <i t="blank">
      <x v="14"/>
    </i>
    <i>
      <x v="15"/>
    </i>
    <i r="1">
      <x/>
      <x v="76"/>
    </i>
    <i r="1">
      <x v="1"/>
      <x v="78"/>
    </i>
    <i r="1">
      <x v="2"/>
      <x v="101"/>
    </i>
    <i r="1">
      <x v="3"/>
      <x v="92"/>
    </i>
    <i r="1">
      <x v="4"/>
      <x v="95"/>
    </i>
    <i r="1">
      <x v="5"/>
      <x v="110"/>
    </i>
    <i r="1">
      <x v="6"/>
      <x v="71"/>
    </i>
    <i r="1">
      <x v="7"/>
      <x v="108"/>
    </i>
    <i r="1">
      <x v="8"/>
      <x v="74"/>
    </i>
    <i r="1">
      <x v="9"/>
      <x v="87"/>
    </i>
    <i r="1">
      <x v="10"/>
      <x v="100"/>
    </i>
    <i r="1">
      <x v="11"/>
      <x v="99"/>
    </i>
    <i r="1">
      <x v="12"/>
      <x v="75"/>
    </i>
    <i r="1">
      <x v="13"/>
      <x v="85"/>
    </i>
    <i r="2">
      <x v="96"/>
    </i>
    <i r="1">
      <x v="15"/>
      <x v="109"/>
    </i>
    <i r="1">
      <x v="16"/>
      <x v="62"/>
    </i>
    <i r="1">
      <x v="17"/>
      <x v="4"/>
    </i>
    <i r="2">
      <x v="36"/>
    </i>
    <i r="2">
      <x v="82"/>
    </i>
    <i t="blank">
      <x v="15"/>
    </i>
    <i>
      <x v="16"/>
    </i>
    <i r="1">
      <x/>
      <x v="76"/>
    </i>
    <i r="1">
      <x v="1"/>
      <x v="92"/>
    </i>
    <i r="1">
      <x v="2"/>
      <x v="101"/>
    </i>
    <i r="1">
      <x v="3"/>
      <x v="78"/>
    </i>
    <i r="1">
      <x v="4"/>
      <x v="95"/>
    </i>
    <i r="1">
      <x v="5"/>
      <x v="110"/>
    </i>
    <i r="1">
      <x v="6"/>
      <x v="71"/>
    </i>
    <i r="1">
      <x v="7"/>
      <x v="108"/>
    </i>
    <i r="1">
      <x v="8"/>
      <x v="96"/>
    </i>
    <i r="1">
      <x v="9"/>
      <x v="74"/>
    </i>
    <i r="1">
      <x v="10"/>
      <x v="85"/>
    </i>
    <i r="1">
      <x v="11"/>
      <x v="75"/>
    </i>
    <i r="1">
      <x v="12"/>
      <x v="100"/>
    </i>
    <i r="1">
      <x v="13"/>
      <x v="109"/>
    </i>
    <i r="1">
      <x v="14"/>
      <x v="99"/>
    </i>
    <i r="1">
      <x v="15"/>
      <x v="97"/>
    </i>
    <i r="1">
      <x v="16"/>
      <x v="87"/>
    </i>
    <i r="1">
      <x v="17"/>
      <x v="82"/>
    </i>
    <i r="1">
      <x v="18"/>
      <x v="62"/>
    </i>
    <i r="1">
      <x v="19"/>
      <x v="55"/>
    </i>
    <i t="blank">
      <x v="16"/>
    </i>
    <i>
      <x v="17"/>
    </i>
    <i r="1">
      <x/>
      <x v="76"/>
    </i>
    <i r="1">
      <x v="1"/>
      <x v="92"/>
    </i>
    <i r="1">
      <x v="2"/>
      <x v="75"/>
    </i>
    <i r="1">
      <x v="3"/>
      <x v="82"/>
    </i>
    <i r="1">
      <x v="4"/>
      <x v="110"/>
    </i>
    <i r="1">
      <x v="5"/>
      <x v="74"/>
    </i>
    <i r="1">
      <x v="6"/>
      <x v="101"/>
    </i>
    <i r="1">
      <x v="7"/>
      <x v="95"/>
    </i>
    <i r="1">
      <x v="8"/>
      <x v="78"/>
    </i>
    <i r="1">
      <x v="9"/>
      <x v="108"/>
    </i>
    <i r="1">
      <x v="10"/>
      <x v="87"/>
    </i>
    <i r="1">
      <x v="11"/>
      <x v="71"/>
    </i>
    <i r="1">
      <x v="12"/>
      <x v="85"/>
    </i>
    <i r="1">
      <x v="13"/>
      <x v="55"/>
    </i>
    <i r="1">
      <x v="14"/>
      <x v="36"/>
    </i>
    <i r="2">
      <x v="96"/>
    </i>
    <i r="1">
      <x v="16"/>
      <x v="84"/>
    </i>
    <i r="1">
      <x v="17"/>
      <x v="118"/>
    </i>
    <i r="1">
      <x v="18"/>
      <x v="100"/>
    </i>
    <i r="1">
      <x v="19"/>
      <x v="109"/>
    </i>
    <i t="blank">
      <x v="17"/>
    </i>
    <i>
      <x v="18"/>
    </i>
    <i r="1">
      <x/>
      <x v="76"/>
    </i>
    <i r="1">
      <x v="1"/>
      <x v="101"/>
    </i>
    <i r="1">
      <x v="2"/>
      <x v="92"/>
    </i>
    <i r="1">
      <x v="3"/>
      <x v="95"/>
    </i>
    <i r="1">
      <x v="4"/>
      <x v="110"/>
    </i>
    <i r="1">
      <x v="5"/>
      <x v="78"/>
    </i>
    <i r="1">
      <x v="6"/>
      <x v="100"/>
    </i>
    <i r="1">
      <x v="7"/>
      <x v="62"/>
    </i>
    <i r="1">
      <x v="8"/>
      <x v="71"/>
    </i>
    <i r="1">
      <x v="9"/>
      <x v="74"/>
    </i>
    <i r="2">
      <x v="108"/>
    </i>
    <i r="1">
      <x v="11"/>
      <x v="96"/>
    </i>
    <i r="1">
      <x v="12"/>
      <x v="109"/>
    </i>
    <i r="1">
      <x v="13"/>
      <x v="75"/>
    </i>
    <i r="1">
      <x v="14"/>
      <x v="99"/>
    </i>
    <i r="1">
      <x v="15"/>
      <x v="87"/>
    </i>
    <i r="1">
      <x v="16"/>
      <x v="11"/>
    </i>
    <i r="1">
      <x v="17"/>
      <x v="66"/>
    </i>
    <i r="1">
      <x v="18"/>
      <x v="13"/>
    </i>
    <i r="1">
      <x v="19"/>
      <x v="53"/>
    </i>
    <i r="2">
      <x v="77"/>
    </i>
    <i t="blank">
      <x v="18"/>
    </i>
    <i>
      <x v="19"/>
    </i>
    <i r="1">
      <x/>
      <x v="76"/>
    </i>
    <i r="1">
      <x v="1"/>
      <x v="92"/>
    </i>
    <i r="1">
      <x v="2"/>
      <x v="101"/>
    </i>
    <i r="1">
      <x v="3"/>
      <x v="95"/>
    </i>
    <i r="1">
      <x v="4"/>
      <x v="22"/>
    </i>
    <i r="1">
      <x v="5"/>
      <x v="100"/>
    </i>
    <i r="1">
      <x v="6"/>
      <x v="71"/>
    </i>
    <i r="1">
      <x v="7"/>
      <x v="62"/>
    </i>
    <i r="1">
      <x v="8"/>
      <x v="110"/>
    </i>
    <i r="1">
      <x v="9"/>
      <x v="77"/>
    </i>
    <i r="2">
      <x v="108"/>
    </i>
    <i r="1">
      <x v="11"/>
      <x v="78"/>
    </i>
    <i r="1">
      <x v="12"/>
      <x v="74"/>
    </i>
    <i r="1">
      <x v="13"/>
      <x v="53"/>
    </i>
    <i r="1">
      <x v="14"/>
      <x v="99"/>
    </i>
    <i r="1">
      <x v="15"/>
      <x v="11"/>
    </i>
    <i r="1">
      <x v="16"/>
      <x v="9"/>
    </i>
    <i r="2">
      <x v="75"/>
    </i>
    <i r="1">
      <x v="18"/>
      <x v="61"/>
    </i>
    <i r="1">
      <x v="19"/>
      <x v="66"/>
    </i>
    <i r="2">
      <x v="87"/>
    </i>
    <i r="2">
      <x v="97"/>
    </i>
    <i t="blank">
      <x v="19"/>
    </i>
    <i>
      <x v="20"/>
    </i>
    <i r="1">
      <x/>
      <x v="76"/>
    </i>
    <i r="1">
      <x v="1"/>
      <x v="101"/>
    </i>
    <i r="1">
      <x v="2"/>
      <x v="92"/>
    </i>
    <i r="1">
      <x v="3"/>
      <x v="95"/>
    </i>
    <i r="1">
      <x v="4"/>
      <x v="110"/>
    </i>
    <i r="1">
      <x v="5"/>
      <x v="78"/>
    </i>
    <i r="1">
      <x v="6"/>
      <x v="100"/>
    </i>
    <i r="1">
      <x v="7"/>
      <x v="108"/>
    </i>
    <i r="1">
      <x v="8"/>
      <x v="74"/>
    </i>
    <i r="1">
      <x v="9"/>
      <x v="11"/>
    </i>
    <i r="1">
      <x v="10"/>
      <x v="22"/>
    </i>
    <i r="1">
      <x v="11"/>
      <x v="71"/>
    </i>
    <i r="1">
      <x v="12"/>
      <x v="62"/>
    </i>
    <i r="1">
      <x v="13"/>
      <x v="99"/>
    </i>
    <i r="1">
      <x v="14"/>
      <x v="75"/>
    </i>
    <i r="1">
      <x v="15"/>
      <x v="109"/>
    </i>
    <i r="1">
      <x v="16"/>
      <x v="9"/>
    </i>
    <i r="1">
      <x v="17"/>
      <x v="13"/>
    </i>
    <i r="1">
      <x v="18"/>
      <x v="2"/>
    </i>
    <i r="1">
      <x v="19"/>
      <x v="66"/>
    </i>
    <i t="blank">
      <x v="20"/>
    </i>
    <i>
      <x v="21"/>
    </i>
    <i r="1">
      <x/>
      <x v="76"/>
    </i>
    <i r="1">
      <x v="1"/>
      <x v="101"/>
    </i>
    <i r="1">
      <x v="2"/>
      <x v="78"/>
    </i>
    <i r="1">
      <x v="3"/>
      <x v="110"/>
    </i>
    <i r="1">
      <x v="4"/>
      <x v="108"/>
    </i>
    <i r="1">
      <x v="5"/>
      <x v="92"/>
    </i>
    <i r="1">
      <x v="6"/>
      <x v="13"/>
    </i>
    <i r="1">
      <x v="7"/>
      <x v="100"/>
    </i>
    <i r="1">
      <x v="8"/>
      <x v="95"/>
    </i>
    <i r="1">
      <x v="9"/>
      <x v="11"/>
    </i>
    <i r="1">
      <x v="10"/>
      <x v="74"/>
    </i>
    <i r="1">
      <x v="11"/>
      <x v="4"/>
    </i>
    <i r="1">
      <x v="12"/>
      <x v="99"/>
    </i>
    <i r="1">
      <x v="13"/>
      <x v="39"/>
    </i>
    <i r="1">
      <x v="14"/>
      <x v="75"/>
    </i>
    <i r="1">
      <x v="15"/>
      <x v="2"/>
    </i>
    <i r="1">
      <x v="16"/>
      <x v="109"/>
    </i>
    <i r="1">
      <x v="17"/>
      <x v="9"/>
    </i>
    <i r="1">
      <x v="18"/>
      <x v="85"/>
    </i>
    <i r="1">
      <x v="19"/>
      <x v="71"/>
    </i>
    <i t="blank">
      <x v="21"/>
    </i>
    <i>
      <x v="22"/>
    </i>
    <i r="1">
      <x/>
      <x v="76"/>
    </i>
    <i r="1">
      <x v="1"/>
      <x v="101"/>
    </i>
    <i r="1">
      <x v="2"/>
      <x v="95"/>
    </i>
    <i r="1">
      <x v="3"/>
      <x v="39"/>
    </i>
    <i r="1">
      <x v="4"/>
      <x v="92"/>
    </i>
    <i r="1">
      <x v="5"/>
      <x v="100"/>
    </i>
    <i r="1">
      <x v="6"/>
      <x v="110"/>
    </i>
    <i r="1">
      <x v="7"/>
      <x v="78"/>
    </i>
    <i r="1">
      <x v="8"/>
      <x v="13"/>
    </i>
    <i r="1">
      <x v="9"/>
      <x v="9"/>
    </i>
    <i r="1">
      <x v="10"/>
      <x v="11"/>
    </i>
    <i r="1">
      <x v="11"/>
      <x v="71"/>
    </i>
    <i r="1">
      <x v="12"/>
      <x v="62"/>
    </i>
    <i r="1">
      <x v="13"/>
      <x v="75"/>
    </i>
    <i r="1">
      <x v="14"/>
      <x v="10"/>
    </i>
    <i r="1">
      <x v="15"/>
      <x v="2"/>
    </i>
    <i r="1">
      <x v="16"/>
      <x v="4"/>
    </i>
    <i r="1">
      <x v="17"/>
      <x v="66"/>
    </i>
    <i r="2">
      <x v="74"/>
    </i>
    <i r="1">
      <x v="19"/>
      <x v="108"/>
    </i>
    <i t="blank">
      <x v="22"/>
    </i>
    <i>
      <x v="23"/>
    </i>
    <i r="1">
      <x/>
      <x v="76"/>
    </i>
    <i r="1">
      <x v="1"/>
      <x v="95"/>
    </i>
    <i r="1">
      <x v="2"/>
      <x v="101"/>
    </i>
    <i r="1">
      <x v="3"/>
      <x v="92"/>
    </i>
    <i r="1">
      <x v="4"/>
      <x v="100"/>
    </i>
    <i r="1">
      <x v="5"/>
      <x v="110"/>
    </i>
    <i r="1">
      <x v="6"/>
      <x v="78"/>
    </i>
    <i r="1">
      <x v="7"/>
      <x v="62"/>
    </i>
    <i r="1">
      <x v="8"/>
      <x v="71"/>
    </i>
    <i r="1">
      <x v="9"/>
      <x v="108"/>
    </i>
    <i r="1">
      <x v="10"/>
      <x v="66"/>
    </i>
    <i r="1">
      <x v="11"/>
      <x v="11"/>
    </i>
    <i r="1">
      <x v="12"/>
      <x v="74"/>
    </i>
    <i r="1">
      <x v="13"/>
      <x v="75"/>
    </i>
    <i r="1">
      <x v="14"/>
      <x v="99"/>
    </i>
    <i r="1">
      <x v="15"/>
      <x v="96"/>
    </i>
    <i r="1">
      <x v="16"/>
      <x v="53"/>
    </i>
    <i r="1">
      <x v="17"/>
      <x v="9"/>
    </i>
    <i r="1">
      <x v="18"/>
      <x v="26"/>
    </i>
    <i r="1">
      <x v="19"/>
      <x v="2"/>
    </i>
    <i r="2">
      <x v="13"/>
    </i>
    <i t="blank">
      <x v="23"/>
    </i>
    <i>
      <x v="24"/>
    </i>
    <i r="1">
      <x/>
      <x v="76"/>
    </i>
    <i r="1">
      <x v="1"/>
      <x v="101"/>
    </i>
    <i r="1">
      <x v="2"/>
      <x v="100"/>
    </i>
    <i r="1">
      <x v="3"/>
      <x v="95"/>
    </i>
    <i r="1">
      <x v="4"/>
      <x v="78"/>
    </i>
    <i r="1">
      <x v="5"/>
      <x v="110"/>
    </i>
    <i r="1">
      <x v="6"/>
      <x v="92"/>
    </i>
    <i r="1">
      <x v="7"/>
      <x v="13"/>
    </i>
    <i r="1">
      <x v="8"/>
      <x v="39"/>
    </i>
    <i r="1">
      <x v="9"/>
      <x v="71"/>
    </i>
    <i r="1">
      <x v="10"/>
      <x v="9"/>
    </i>
    <i r="2">
      <x v="74"/>
    </i>
    <i r="1">
      <x v="12"/>
      <x v="11"/>
    </i>
    <i r="1">
      <x v="13"/>
      <x v="108"/>
    </i>
    <i r="1">
      <x v="14"/>
      <x v="99"/>
    </i>
    <i r="1">
      <x v="15"/>
      <x v="2"/>
    </i>
    <i r="1">
      <x v="16"/>
      <x v="75"/>
    </i>
    <i r="1">
      <x v="17"/>
      <x v="25"/>
    </i>
    <i r="1">
      <x v="18"/>
      <x v="10"/>
    </i>
    <i r="2">
      <x v="62"/>
    </i>
    <i t="blank">
      <x v="24"/>
    </i>
    <i>
      <x v="25"/>
    </i>
    <i r="1">
      <x/>
      <x v="55"/>
    </i>
    <i r="1">
      <x v="1"/>
      <x v="92"/>
    </i>
    <i r="1">
      <x v="2"/>
      <x v="71"/>
    </i>
    <i r="1">
      <x v="3"/>
      <x v="57"/>
    </i>
    <i r="1">
      <x v="4"/>
      <x v="91"/>
    </i>
    <i r="1">
      <x v="5"/>
      <x v="53"/>
    </i>
    <i r="2">
      <x v="54"/>
    </i>
    <i r="2">
      <x v="70"/>
    </i>
    <i r="2">
      <x v="95"/>
    </i>
    <i r="2">
      <x v="97"/>
    </i>
    <i r="2">
      <x v="101"/>
    </i>
    <i r="2">
      <x v="102"/>
    </i>
    <i r="2">
      <x v="103"/>
    </i>
    <i r="1">
      <x v="13"/>
      <x v="38"/>
    </i>
    <i r="2">
      <x v="44"/>
    </i>
    <i r="2">
      <x v="45"/>
    </i>
    <i r="2">
      <x v="50"/>
    </i>
    <i r="2">
      <x v="52"/>
    </i>
    <i r="2">
      <x v="56"/>
    </i>
    <i r="2">
      <x v="61"/>
    </i>
    <i r="2">
      <x v="66"/>
    </i>
    <i r="2">
      <x v="73"/>
    </i>
    <i r="2">
      <x v="74"/>
    </i>
    <i r="2">
      <x v="84"/>
    </i>
    <i r="2">
      <x v="94"/>
    </i>
    <i r="2">
      <x v="100"/>
    </i>
    <i t="blank">
      <x v="25"/>
    </i>
    <i>
      <x v="26"/>
    </i>
    <i r="1">
      <x/>
      <x v="76"/>
    </i>
    <i r="1">
      <x v="1"/>
      <x v="101"/>
    </i>
    <i r="1">
      <x v="2"/>
      <x v="108"/>
    </i>
    <i r="1">
      <x v="3"/>
      <x v="92"/>
    </i>
    <i r="1">
      <x v="4"/>
      <x v="100"/>
    </i>
    <i r="1">
      <x v="5"/>
      <x v="110"/>
    </i>
    <i r="1">
      <x v="6"/>
      <x v="75"/>
    </i>
    <i r="1">
      <x v="7"/>
      <x v="78"/>
    </i>
    <i r="2">
      <x v="95"/>
    </i>
    <i r="1">
      <x v="9"/>
      <x v="13"/>
    </i>
    <i r="1">
      <x v="10"/>
      <x v="71"/>
    </i>
    <i r="1">
      <x v="11"/>
      <x v="63"/>
    </i>
    <i r="1">
      <x v="12"/>
      <x v="11"/>
    </i>
    <i r="1">
      <x v="13"/>
      <x v="87"/>
    </i>
    <i r="1">
      <x v="14"/>
      <x v="4"/>
    </i>
    <i r="1">
      <x v="15"/>
      <x v="96"/>
    </i>
    <i r="1">
      <x v="16"/>
      <x v="74"/>
    </i>
    <i r="1">
      <x v="17"/>
      <x/>
    </i>
    <i r="1">
      <x v="18"/>
      <x v="62"/>
    </i>
    <i r="1">
      <x v="19"/>
      <x v="2"/>
    </i>
    <i t="blank">
      <x v="26"/>
    </i>
    <i>
      <x v="27"/>
    </i>
    <i r="1">
      <x/>
      <x v="76"/>
    </i>
    <i r="1">
      <x v="1"/>
      <x v="101"/>
    </i>
    <i r="1">
      <x v="2"/>
      <x v="75"/>
    </i>
    <i r="1">
      <x v="3"/>
      <x v="95"/>
    </i>
    <i r="1">
      <x v="4"/>
      <x v="110"/>
    </i>
    <i r="1">
      <x v="5"/>
      <x v="92"/>
    </i>
    <i r="2">
      <x v="108"/>
    </i>
    <i r="1">
      <x v="7"/>
      <x v="78"/>
    </i>
    <i r="1">
      <x v="8"/>
      <x v="96"/>
    </i>
    <i r="1">
      <x v="9"/>
      <x v="100"/>
    </i>
    <i r="1">
      <x v="10"/>
      <x v="71"/>
    </i>
    <i r="1">
      <x v="11"/>
      <x v="74"/>
    </i>
    <i r="1">
      <x v="12"/>
      <x v="2"/>
    </i>
    <i r="2">
      <x v="62"/>
    </i>
    <i r="1">
      <x v="14"/>
      <x v="13"/>
    </i>
    <i r="1">
      <x v="15"/>
      <x v="11"/>
    </i>
    <i r="1">
      <x v="16"/>
      <x v="118"/>
    </i>
    <i r="1">
      <x v="17"/>
      <x v="36"/>
    </i>
    <i r="1">
      <x v="18"/>
      <x v="87"/>
    </i>
    <i r="1">
      <x v="19"/>
      <x v="82"/>
    </i>
    <i t="blank">
      <x v="27"/>
    </i>
    <i>
      <x v="28"/>
    </i>
    <i r="1">
      <x/>
      <x v="76"/>
    </i>
    <i r="1">
      <x v="1"/>
      <x v="101"/>
    </i>
    <i r="1">
      <x v="2"/>
      <x v="78"/>
    </i>
    <i r="1">
      <x v="3"/>
      <x v="108"/>
    </i>
    <i r="1">
      <x v="4"/>
      <x v="110"/>
    </i>
    <i r="1">
      <x v="5"/>
      <x v="71"/>
    </i>
    <i r="1">
      <x v="6"/>
      <x v="92"/>
    </i>
    <i r="1">
      <x v="7"/>
      <x v="95"/>
    </i>
    <i r="1">
      <x v="8"/>
      <x v="74"/>
    </i>
    <i r="2">
      <x v="75"/>
    </i>
    <i r="1">
      <x v="10"/>
      <x v="96"/>
    </i>
    <i r="1">
      <x v="11"/>
      <x v="55"/>
    </i>
    <i r="1">
      <x v="12"/>
      <x v="85"/>
    </i>
    <i r="1">
      <x v="13"/>
      <x v="100"/>
    </i>
    <i r="1">
      <x v="14"/>
      <x v="57"/>
    </i>
    <i r="1">
      <x v="15"/>
      <x v="102"/>
    </i>
    <i r="1">
      <x v="16"/>
      <x v="62"/>
    </i>
    <i r="2">
      <x v="109"/>
    </i>
    <i r="1">
      <x v="18"/>
      <x v="87"/>
    </i>
    <i r="1">
      <x v="19"/>
      <x v="36"/>
    </i>
    <i t="blank">
      <x v="28"/>
    </i>
    <i>
      <x v="29"/>
    </i>
    <i r="1">
      <x/>
      <x v="76"/>
    </i>
    <i r="1">
      <x v="1"/>
      <x v="78"/>
    </i>
    <i r="1">
      <x v="2"/>
      <x v="101"/>
    </i>
    <i r="1">
      <x v="3"/>
      <x v="75"/>
    </i>
    <i r="1">
      <x v="4"/>
      <x v="110"/>
    </i>
    <i r="1">
      <x v="5"/>
      <x v="108"/>
    </i>
    <i r="1">
      <x v="6"/>
      <x v="100"/>
    </i>
    <i r="1">
      <x v="7"/>
      <x v="92"/>
    </i>
    <i r="1">
      <x v="8"/>
      <x v="4"/>
    </i>
    <i r="1">
      <x v="9"/>
      <x v="74"/>
    </i>
    <i r="1">
      <x v="10"/>
      <x v="95"/>
    </i>
    <i r="1">
      <x v="11"/>
      <x v="2"/>
    </i>
    <i r="1">
      <x v="12"/>
      <x v="87"/>
    </i>
    <i r="1">
      <x v="13"/>
      <x v="99"/>
    </i>
    <i r="1">
      <x v="14"/>
      <x v="85"/>
    </i>
    <i r="1">
      <x v="15"/>
      <x v="62"/>
    </i>
    <i r="1">
      <x v="16"/>
      <x v="66"/>
    </i>
    <i r="2">
      <x v="96"/>
    </i>
    <i r="2">
      <x v="111"/>
    </i>
    <i r="1">
      <x v="19"/>
      <x v="109"/>
    </i>
    <i t="blank">
      <x v="29"/>
    </i>
    <i>
      <x v="30"/>
    </i>
    <i r="1">
      <x/>
      <x v="101"/>
    </i>
    <i r="1">
      <x v="1"/>
      <x v="100"/>
    </i>
    <i r="1">
      <x v="2"/>
      <x v="76"/>
    </i>
    <i r="1">
      <x v="3"/>
      <x v="95"/>
    </i>
    <i r="1">
      <x v="4"/>
      <x v="108"/>
    </i>
    <i r="1">
      <x v="5"/>
      <x v="92"/>
    </i>
    <i r="1">
      <x v="6"/>
      <x v="3"/>
    </i>
    <i r="2">
      <x v="110"/>
    </i>
    <i r="1">
      <x v="8"/>
      <x v="63"/>
    </i>
    <i r="1">
      <x v="9"/>
      <x/>
    </i>
    <i r="1">
      <x v="10"/>
      <x v="71"/>
    </i>
    <i r="1">
      <x v="11"/>
      <x v="11"/>
    </i>
    <i r="1">
      <x v="12"/>
      <x v="96"/>
    </i>
    <i r="1">
      <x v="13"/>
      <x v="62"/>
    </i>
    <i r="2">
      <x v="115"/>
    </i>
    <i r="1">
      <x v="15"/>
      <x v="78"/>
    </i>
    <i r="2">
      <x v="97"/>
    </i>
    <i r="1">
      <x v="17"/>
      <x v="13"/>
    </i>
    <i r="1">
      <x v="18"/>
      <x v="61"/>
    </i>
    <i r="2">
      <x v="99"/>
    </i>
    <i t="blank">
      <x v="30"/>
    </i>
    <i>
      <x v="31"/>
    </i>
    <i r="1">
      <x/>
      <x v="76"/>
    </i>
    <i r="1">
      <x v="1"/>
      <x v="101"/>
    </i>
    <i r="1">
      <x v="2"/>
      <x v="78"/>
    </i>
    <i r="1">
      <x v="3"/>
      <x v="110"/>
    </i>
    <i r="1">
      <x v="4"/>
      <x v="92"/>
    </i>
    <i r="1">
      <x v="5"/>
      <x v="108"/>
    </i>
    <i r="1">
      <x v="6"/>
      <x v="100"/>
    </i>
    <i r="1">
      <x v="7"/>
      <x v="95"/>
    </i>
    <i r="1">
      <x v="8"/>
      <x v="71"/>
    </i>
    <i r="1">
      <x v="9"/>
      <x v="11"/>
    </i>
    <i r="1">
      <x v="10"/>
      <x v="13"/>
    </i>
    <i r="1">
      <x v="11"/>
      <x v="75"/>
    </i>
    <i r="1">
      <x v="12"/>
      <x v="96"/>
    </i>
    <i r="1">
      <x v="13"/>
      <x v="74"/>
    </i>
    <i r="1">
      <x v="14"/>
      <x v="99"/>
    </i>
    <i r="1">
      <x v="15"/>
      <x v="36"/>
    </i>
    <i r="1">
      <x v="16"/>
      <x v="4"/>
    </i>
    <i r="2">
      <x v="109"/>
    </i>
    <i r="1">
      <x v="18"/>
      <x v="9"/>
    </i>
    <i r="2">
      <x v="10"/>
    </i>
    <i t="blank">
      <x v="31"/>
    </i>
    <i>
      <x v="32"/>
    </i>
    <i r="1">
      <x/>
      <x v="76"/>
    </i>
    <i r="1">
      <x v="1"/>
      <x v="101"/>
    </i>
    <i r="1">
      <x v="2"/>
      <x v="92"/>
    </i>
    <i r="1">
      <x v="3"/>
      <x v="95"/>
    </i>
    <i r="1">
      <x v="4"/>
      <x v="110"/>
    </i>
    <i r="1">
      <x v="5"/>
      <x v="100"/>
    </i>
    <i r="2">
      <x v="108"/>
    </i>
    <i r="1">
      <x v="7"/>
      <x v="96"/>
    </i>
    <i r="1">
      <x v="8"/>
      <x v="78"/>
    </i>
    <i r="1">
      <x v="9"/>
      <x v="75"/>
    </i>
    <i r="1">
      <x v="10"/>
      <x v="2"/>
    </i>
    <i r="1">
      <x v="11"/>
      <x v="62"/>
    </i>
    <i r="2">
      <x v="74"/>
    </i>
    <i r="2">
      <x v="99"/>
    </i>
    <i r="1">
      <x v="14"/>
      <x v="11"/>
    </i>
    <i r="1">
      <x v="15"/>
      <x v="63"/>
    </i>
    <i r="1">
      <x v="16"/>
      <x v="71"/>
    </i>
    <i r="1">
      <x v="17"/>
      <x v="9"/>
    </i>
    <i r="1">
      <x v="18"/>
      <x v="10"/>
    </i>
    <i r="1">
      <x v="19"/>
      <x v="53"/>
    </i>
    <i r="2">
      <x v="66"/>
    </i>
    <i r="2">
      <x v="109"/>
    </i>
    <i t="blank">
      <x v="32"/>
    </i>
    <i>
      <x v="33"/>
    </i>
    <i r="1">
      <x/>
      <x v="76"/>
    </i>
    <i r="1">
      <x v="1"/>
      <x v="78"/>
    </i>
    <i r="2">
      <x v="101"/>
    </i>
    <i r="1">
      <x v="3"/>
      <x v="110"/>
    </i>
    <i r="1">
      <x v="4"/>
      <x v="92"/>
    </i>
    <i r="1">
      <x v="5"/>
      <x v="108"/>
    </i>
    <i r="1">
      <x v="6"/>
      <x v="95"/>
    </i>
    <i r="1">
      <x v="7"/>
      <x v="100"/>
    </i>
    <i r="1">
      <x v="8"/>
      <x v="99"/>
    </i>
    <i r="1">
      <x v="9"/>
      <x v="74"/>
    </i>
    <i r="1">
      <x v="10"/>
      <x v="71"/>
    </i>
    <i r="1">
      <x v="11"/>
      <x v="96"/>
    </i>
    <i r="1">
      <x v="12"/>
      <x v="85"/>
    </i>
    <i r="1">
      <x v="13"/>
      <x v="4"/>
    </i>
    <i r="1">
      <x v="14"/>
      <x v="36"/>
    </i>
    <i r="1">
      <x v="15"/>
      <x v="87"/>
    </i>
    <i r="1">
      <x v="16"/>
      <x v="75"/>
    </i>
    <i r="1">
      <x v="17"/>
      <x v="11"/>
    </i>
    <i r="2">
      <x v="84"/>
    </i>
    <i r="1">
      <x v="19"/>
      <x v="13"/>
    </i>
    <i r="2">
      <x v="109"/>
    </i>
    <i t="blank">
      <x v="33"/>
    </i>
    <i>
      <x v="34"/>
    </i>
    <i r="1">
      <x/>
      <x v="76"/>
    </i>
    <i r="1">
      <x v="1"/>
      <x v="101"/>
    </i>
    <i r="1">
      <x v="2"/>
      <x v="108"/>
    </i>
    <i r="1">
      <x v="3"/>
      <x v="110"/>
    </i>
    <i r="1">
      <x v="4"/>
      <x v="78"/>
    </i>
    <i r="1">
      <x v="5"/>
      <x v="100"/>
    </i>
    <i r="1">
      <x v="6"/>
      <x v="92"/>
    </i>
    <i r="1">
      <x v="7"/>
      <x v="87"/>
    </i>
    <i r="1">
      <x v="8"/>
      <x v="71"/>
    </i>
    <i r="1">
      <x v="9"/>
      <x v="75"/>
    </i>
    <i r="1">
      <x v="10"/>
      <x v="4"/>
    </i>
    <i r="1">
      <x v="11"/>
      <x v="95"/>
    </i>
    <i r="1">
      <x v="12"/>
      <x v="74"/>
    </i>
    <i r="1">
      <x v="13"/>
      <x v="13"/>
    </i>
    <i r="1">
      <x v="14"/>
      <x v="36"/>
    </i>
    <i r="1">
      <x v="15"/>
      <x/>
    </i>
    <i r="1">
      <x v="16"/>
      <x v="63"/>
    </i>
    <i r="1">
      <x v="17"/>
      <x v="107"/>
    </i>
    <i r="1">
      <x v="18"/>
      <x v="96"/>
    </i>
    <i r="1">
      <x v="19"/>
      <x v="11"/>
    </i>
    <i t="blank">
      <x v="34"/>
    </i>
    <i>
      <x v="35"/>
    </i>
    <i r="1">
      <x/>
      <x v="76"/>
    </i>
    <i r="1">
      <x v="1"/>
      <x v="110"/>
    </i>
    <i r="1">
      <x v="2"/>
      <x v="101"/>
    </i>
    <i r="1">
      <x v="3"/>
      <x v="78"/>
    </i>
    <i r="1">
      <x v="4"/>
      <x v="92"/>
    </i>
    <i r="1">
      <x v="5"/>
      <x v="108"/>
    </i>
    <i r="1">
      <x v="6"/>
      <x v="95"/>
    </i>
    <i r="1">
      <x v="7"/>
      <x v="74"/>
    </i>
    <i r="1">
      <x v="8"/>
      <x v="71"/>
    </i>
    <i r="2">
      <x v="100"/>
    </i>
    <i r="1">
      <x v="10"/>
      <x v="99"/>
    </i>
    <i r="1">
      <x v="11"/>
      <x v="75"/>
    </i>
    <i r="1">
      <x v="12"/>
      <x v="61"/>
    </i>
    <i r="1">
      <x v="13"/>
      <x v="87"/>
    </i>
    <i r="1">
      <x v="14"/>
      <x v="66"/>
    </i>
    <i r="2">
      <x v="84"/>
    </i>
    <i r="1">
      <x v="16"/>
      <x v="85"/>
    </i>
    <i r="2">
      <x v="109"/>
    </i>
    <i r="1">
      <x v="18"/>
      <x v="62"/>
    </i>
    <i r="2">
      <x v="96"/>
    </i>
    <i t="blank">
      <x v="35"/>
    </i>
    <i>
      <x v="36"/>
    </i>
    <i r="1">
      <x/>
      <x v="76"/>
    </i>
    <i r="1">
      <x v="1"/>
      <x v="101"/>
    </i>
    <i r="1">
      <x v="2"/>
      <x v="108"/>
    </i>
    <i r="1">
      <x v="3"/>
      <x v="100"/>
    </i>
    <i r="1">
      <x v="4"/>
      <x v="78"/>
    </i>
    <i r="1">
      <x v="5"/>
      <x v="110"/>
    </i>
    <i r="1">
      <x v="6"/>
      <x v="95"/>
    </i>
    <i r="1">
      <x v="7"/>
      <x v="92"/>
    </i>
    <i r="1">
      <x v="8"/>
      <x v="62"/>
    </i>
    <i r="1">
      <x v="9"/>
      <x v="2"/>
    </i>
    <i r="1">
      <x v="10"/>
      <x v="13"/>
    </i>
    <i r="1">
      <x v="11"/>
      <x v="107"/>
    </i>
    <i r="1">
      <x v="12"/>
      <x v="71"/>
    </i>
    <i r="1">
      <x v="13"/>
      <x v="63"/>
    </i>
    <i r="2">
      <x v="75"/>
    </i>
    <i r="2">
      <x v="87"/>
    </i>
    <i r="1">
      <x v="16"/>
      <x v="99"/>
    </i>
    <i r="1">
      <x v="17"/>
      <x v="85"/>
    </i>
    <i r="1">
      <x v="18"/>
      <x v="109"/>
    </i>
    <i r="1">
      <x v="19"/>
      <x v="9"/>
    </i>
    <i r="2">
      <x v="11"/>
    </i>
    <i t="blank">
      <x v="36"/>
    </i>
    <i>
      <x v="37"/>
    </i>
    <i r="1">
      <x/>
      <x v="76"/>
    </i>
    <i r="1">
      <x v="1"/>
      <x v="101"/>
    </i>
    <i r="1">
      <x v="2"/>
      <x v="108"/>
    </i>
    <i r="1">
      <x v="3"/>
      <x v="110"/>
    </i>
    <i r="1">
      <x v="4"/>
      <x v="92"/>
    </i>
    <i r="1">
      <x v="5"/>
      <x v="78"/>
    </i>
    <i r="1">
      <x v="6"/>
      <x v="100"/>
    </i>
    <i r="1">
      <x v="7"/>
      <x v="107"/>
    </i>
    <i r="1">
      <x v="8"/>
      <x v="87"/>
    </i>
    <i r="1">
      <x v="9"/>
      <x v="95"/>
    </i>
    <i r="1">
      <x v="10"/>
      <x v="4"/>
    </i>
    <i r="1">
      <x v="11"/>
      <x v="36"/>
    </i>
    <i r="2">
      <x v="71"/>
    </i>
    <i r="1">
      <x v="13"/>
      <x v="85"/>
    </i>
    <i r="1">
      <x v="14"/>
      <x v="13"/>
    </i>
    <i r="2">
      <x v="109"/>
    </i>
    <i r="1">
      <x v="16"/>
      <x v="75"/>
    </i>
    <i r="1">
      <x v="17"/>
      <x/>
    </i>
    <i r="2">
      <x v="99"/>
    </i>
    <i r="1">
      <x v="19"/>
      <x v="8"/>
    </i>
    <i r="2">
      <x v="66"/>
    </i>
    <i t="blank">
      <x v="37"/>
    </i>
    <i>
      <x v="38"/>
    </i>
    <i r="1">
      <x/>
      <x v="101"/>
    </i>
    <i r="1">
      <x v="1"/>
      <x v="76"/>
    </i>
    <i r="1">
      <x v="2"/>
      <x v="95"/>
    </i>
    <i r="1">
      <x v="3"/>
      <x v="110"/>
    </i>
    <i r="1">
      <x v="4"/>
      <x v="108"/>
    </i>
    <i r="1">
      <x v="5"/>
      <x v="92"/>
    </i>
    <i r="1">
      <x v="6"/>
      <x v="100"/>
    </i>
    <i r="1">
      <x v="7"/>
      <x v="99"/>
    </i>
    <i r="1">
      <x v="8"/>
      <x v="71"/>
    </i>
    <i r="1">
      <x v="9"/>
      <x v="13"/>
    </i>
    <i r="1">
      <x v="10"/>
      <x v="87"/>
    </i>
    <i r="1">
      <x v="11"/>
      <x v="78"/>
    </i>
    <i r="2">
      <x v="96"/>
    </i>
    <i r="1">
      <x v="13"/>
      <x v="74"/>
    </i>
    <i r="1">
      <x v="14"/>
      <x v="62"/>
    </i>
    <i r="1">
      <x v="15"/>
      <x v="4"/>
    </i>
    <i r="2">
      <x v="8"/>
    </i>
    <i r="1">
      <x v="17"/>
      <x v="9"/>
    </i>
    <i r="2">
      <x v="11"/>
    </i>
    <i r="1">
      <x v="19"/>
      <x v="107"/>
    </i>
    <i t="blank">
      <x v="38"/>
    </i>
    <i>
      <x v="39"/>
    </i>
    <i r="1">
      <x/>
      <x v="76"/>
    </i>
    <i r="1">
      <x v="1"/>
      <x v="101"/>
    </i>
    <i r="1">
      <x v="2"/>
      <x v="108"/>
    </i>
    <i r="1">
      <x v="3"/>
      <x v="110"/>
    </i>
    <i r="1">
      <x v="4"/>
      <x v="95"/>
    </i>
    <i r="1">
      <x v="5"/>
      <x v="78"/>
    </i>
    <i r="1">
      <x v="6"/>
      <x v="92"/>
    </i>
    <i r="1">
      <x v="7"/>
      <x v="71"/>
    </i>
    <i r="1">
      <x v="8"/>
      <x v="75"/>
    </i>
    <i r="1">
      <x v="9"/>
      <x v="87"/>
    </i>
    <i r="1">
      <x v="10"/>
      <x v="96"/>
    </i>
    <i r="1">
      <x v="11"/>
      <x v="74"/>
    </i>
    <i r="1">
      <x v="12"/>
      <x v="100"/>
    </i>
    <i r="1">
      <x v="13"/>
      <x v="109"/>
    </i>
    <i r="1">
      <x v="14"/>
      <x v="55"/>
    </i>
    <i r="1">
      <x v="15"/>
      <x v="85"/>
    </i>
    <i r="2">
      <x v="107"/>
    </i>
    <i r="1">
      <x v="17"/>
      <x v="4"/>
    </i>
    <i r="1">
      <x v="18"/>
      <x v="2"/>
    </i>
    <i r="1">
      <x v="19"/>
      <x v="36"/>
    </i>
    <i r="2">
      <x v="62"/>
    </i>
    <i r="2">
      <x v="97"/>
    </i>
    <i t="blank">
      <x v="39"/>
    </i>
    <i>
      <x v="40"/>
    </i>
    <i r="1">
      <x/>
      <x v="76"/>
    </i>
    <i r="1">
      <x v="1"/>
      <x v="101"/>
    </i>
    <i r="1">
      <x v="2"/>
      <x v="110"/>
    </i>
    <i r="1">
      <x v="3"/>
      <x v="78"/>
    </i>
    <i r="2">
      <x v="92"/>
    </i>
    <i r="1">
      <x v="5"/>
      <x v="108"/>
    </i>
    <i r="1">
      <x v="6"/>
      <x v="71"/>
    </i>
    <i r="1">
      <x v="7"/>
      <x v="95"/>
    </i>
    <i r="1">
      <x v="8"/>
      <x v="100"/>
    </i>
    <i r="1">
      <x v="9"/>
      <x v="75"/>
    </i>
    <i r="1">
      <x v="10"/>
      <x v="109"/>
    </i>
    <i r="1">
      <x v="11"/>
      <x v="55"/>
    </i>
    <i r="1">
      <x v="12"/>
      <x v="74"/>
    </i>
    <i r="2">
      <x v="85"/>
    </i>
    <i r="1">
      <x v="14"/>
      <x v="96"/>
    </i>
    <i r="2">
      <x v="118"/>
    </i>
    <i r="1">
      <x v="16"/>
      <x v="107"/>
    </i>
    <i r="1">
      <x v="17"/>
      <x v="87"/>
    </i>
    <i r="2">
      <x v="97"/>
    </i>
    <i r="2">
      <x v="99"/>
    </i>
    <i t="blank">
      <x v="40"/>
    </i>
    <i>
      <x v="41"/>
    </i>
    <i r="1">
      <x/>
      <x v="101"/>
    </i>
    <i r="1">
      <x v="1"/>
      <x v="92"/>
    </i>
    <i r="1">
      <x v="2"/>
      <x v="95"/>
    </i>
    <i r="1">
      <x v="3"/>
      <x v="76"/>
    </i>
    <i r="1">
      <x v="4"/>
      <x v="96"/>
    </i>
    <i r="1">
      <x v="5"/>
      <x v="110"/>
    </i>
    <i r="1">
      <x v="6"/>
      <x v="100"/>
    </i>
    <i r="1">
      <x v="7"/>
      <x v="71"/>
    </i>
    <i r="1">
      <x v="8"/>
      <x v="78"/>
    </i>
    <i r="1">
      <x v="9"/>
      <x v="11"/>
    </i>
    <i r="2">
      <x v="63"/>
    </i>
    <i r="1">
      <x v="11"/>
      <x v="66"/>
    </i>
    <i r="2">
      <x v="108"/>
    </i>
    <i r="1">
      <x v="13"/>
      <x v="87"/>
    </i>
    <i r="1">
      <x v="14"/>
      <x v="55"/>
    </i>
    <i r="1">
      <x v="15"/>
      <x v="3"/>
    </i>
    <i r="2">
      <x v="4"/>
    </i>
    <i r="2">
      <x v="74"/>
    </i>
    <i r="1">
      <x v="18"/>
      <x v="99"/>
    </i>
    <i r="1">
      <x v="19"/>
      <x v="62"/>
    </i>
    <i r="2">
      <x v="115"/>
    </i>
    <i t="blank">
      <x v="41"/>
    </i>
    <i>
      <x v="42"/>
    </i>
    <i r="1">
      <x/>
      <x v="76"/>
    </i>
    <i r="1">
      <x v="1"/>
      <x v="101"/>
    </i>
    <i r="1">
      <x v="2"/>
      <x v="78"/>
    </i>
    <i r="1">
      <x v="3"/>
      <x v="92"/>
    </i>
    <i r="1">
      <x v="4"/>
      <x v="100"/>
    </i>
    <i r="1">
      <x v="5"/>
      <x v="110"/>
    </i>
    <i r="1">
      <x v="6"/>
      <x v="95"/>
    </i>
    <i r="1">
      <x v="7"/>
      <x v="4"/>
    </i>
    <i r="2">
      <x v="11"/>
    </i>
    <i r="2">
      <x v="71"/>
    </i>
    <i r="1">
      <x v="10"/>
      <x v="108"/>
    </i>
    <i r="1">
      <x v="11"/>
      <x v="13"/>
    </i>
    <i r="2">
      <x v="96"/>
    </i>
    <i r="1">
      <x v="13"/>
      <x v="99"/>
    </i>
    <i r="1">
      <x v="14"/>
      <x v="62"/>
    </i>
    <i r="1">
      <x v="15"/>
      <x v="87"/>
    </i>
    <i r="1">
      <x v="16"/>
      <x v="2"/>
    </i>
    <i r="2">
      <x v="10"/>
    </i>
    <i r="2">
      <x v="63"/>
    </i>
    <i r="2">
      <x v="85"/>
    </i>
    <i t="blank">
      <x v="42"/>
    </i>
    <i>
      <x v="43"/>
    </i>
    <i r="1">
      <x/>
      <x v="101"/>
    </i>
    <i r="1">
      <x v="1"/>
      <x v="76"/>
    </i>
    <i r="1">
      <x v="2"/>
      <x v="92"/>
    </i>
    <i r="1">
      <x v="3"/>
      <x v="100"/>
    </i>
    <i r="1">
      <x v="4"/>
      <x v="95"/>
    </i>
    <i r="1">
      <x v="5"/>
      <x v="110"/>
    </i>
    <i r="1">
      <x v="6"/>
      <x v="108"/>
    </i>
    <i r="1">
      <x v="7"/>
      <x v="11"/>
    </i>
    <i r="2">
      <x v="13"/>
    </i>
    <i r="1">
      <x v="9"/>
      <x v="8"/>
    </i>
    <i r="1">
      <x v="10"/>
      <x v="71"/>
    </i>
    <i r="1">
      <x v="11"/>
      <x v="4"/>
    </i>
    <i r="1">
      <x v="12"/>
      <x v="3"/>
    </i>
    <i r="1">
      <x v="13"/>
      <x v="96"/>
    </i>
    <i r="1">
      <x v="14"/>
      <x v="9"/>
    </i>
    <i r="2">
      <x v="62"/>
    </i>
    <i r="2">
      <x v="63"/>
    </i>
    <i r="1">
      <x v="17"/>
      <x v="75"/>
    </i>
    <i r="2">
      <x v="78"/>
    </i>
    <i r="1">
      <x v="19"/>
      <x v="2"/>
    </i>
    <i r="2">
      <x v="74"/>
    </i>
    <i t="blank">
      <x v="43"/>
    </i>
    <i>
      <x v="44"/>
    </i>
    <i r="1">
      <x/>
      <x v="101"/>
    </i>
    <i r="1">
      <x v="1"/>
      <x v="76"/>
    </i>
    <i r="1">
      <x v="2"/>
      <x v="108"/>
    </i>
    <i r="1">
      <x v="3"/>
      <x v="95"/>
    </i>
    <i r="1">
      <x v="4"/>
      <x v="100"/>
    </i>
    <i r="1">
      <x v="5"/>
      <x v="11"/>
    </i>
    <i r="1">
      <x v="6"/>
      <x v="110"/>
    </i>
    <i r="1">
      <x v="7"/>
      <x v="92"/>
    </i>
    <i r="1">
      <x v="8"/>
      <x v="99"/>
    </i>
    <i r="1">
      <x v="9"/>
      <x v="71"/>
    </i>
    <i r="1">
      <x v="10"/>
      <x v="62"/>
    </i>
    <i r="1">
      <x v="11"/>
      <x v="13"/>
    </i>
    <i r="2">
      <x v="61"/>
    </i>
    <i r="2">
      <x v="74"/>
    </i>
    <i r="2">
      <x v="96"/>
    </i>
    <i r="2">
      <x v="111"/>
    </i>
    <i r="1">
      <x v="16"/>
      <x v="66"/>
    </i>
    <i r="1">
      <x v="17"/>
      <x v="2"/>
    </i>
    <i r="2">
      <x v="4"/>
    </i>
    <i r="2">
      <x v="9"/>
    </i>
    <i t="blank">
      <x v="44"/>
    </i>
    <i>
      <x v="45"/>
    </i>
    <i r="1">
      <x/>
      <x v="76"/>
    </i>
    <i r="1">
      <x v="1"/>
      <x v="101"/>
    </i>
    <i r="1">
      <x v="2"/>
      <x v="108"/>
    </i>
    <i r="1">
      <x v="3"/>
      <x v="110"/>
    </i>
    <i r="1">
      <x v="4"/>
      <x v="78"/>
    </i>
    <i r="1">
      <x v="5"/>
      <x v="13"/>
    </i>
    <i r="1">
      <x v="6"/>
      <x v="11"/>
    </i>
    <i r="1">
      <x v="7"/>
      <x v="4"/>
    </i>
    <i r="1">
      <x v="8"/>
      <x v="99"/>
    </i>
    <i r="1">
      <x v="9"/>
      <x v="100"/>
    </i>
    <i r="1">
      <x v="10"/>
      <x v="92"/>
    </i>
    <i r="1">
      <x v="11"/>
      <x v="10"/>
    </i>
    <i r="1">
      <x v="12"/>
      <x v="95"/>
    </i>
    <i r="1">
      <x v="13"/>
      <x v="71"/>
    </i>
    <i r="2">
      <x v="75"/>
    </i>
    <i r="2">
      <x v="87"/>
    </i>
    <i r="1">
      <x v="16"/>
      <x v="9"/>
    </i>
    <i r="1">
      <x v="17"/>
      <x v="2"/>
    </i>
    <i r="2">
      <x v="8"/>
    </i>
    <i r="1">
      <x v="19"/>
      <x v="36"/>
    </i>
    <i r="2">
      <x v="107"/>
    </i>
    <i t="blank">
      <x v="45"/>
    </i>
    <i>
      <x v="46"/>
    </i>
    <i r="1">
      <x/>
      <x v="13"/>
    </i>
    <i r="1">
      <x v="1"/>
      <x v="101"/>
    </i>
    <i r="1">
      <x v="2"/>
      <x v="63"/>
    </i>
    <i r="1">
      <x v="3"/>
      <x v="10"/>
    </i>
    <i r="2">
      <x v="11"/>
    </i>
    <i r="1">
      <x v="5"/>
      <x v="4"/>
    </i>
    <i r="1">
      <x v="6"/>
      <x v="100"/>
    </i>
    <i r="1">
      <x v="7"/>
      <x v="76"/>
    </i>
    <i r="1">
      <x v="8"/>
      <x v="95"/>
    </i>
    <i r="2">
      <x v="110"/>
    </i>
    <i r="1">
      <x v="10"/>
      <x v="92"/>
    </i>
    <i r="2">
      <x v="108"/>
    </i>
    <i r="1">
      <x v="12"/>
      <x v="2"/>
    </i>
    <i r="1">
      <x v="13"/>
      <x/>
    </i>
    <i r="2">
      <x v="115"/>
    </i>
    <i r="1">
      <x v="15"/>
      <x v="3"/>
    </i>
    <i r="2">
      <x v="5"/>
    </i>
    <i r="2">
      <x v="9"/>
    </i>
    <i r="1">
      <x v="18"/>
      <x v="8"/>
    </i>
    <i r="2">
      <x v="62"/>
    </i>
    <i t="blank">
      <x v="46"/>
    </i>
    <i>
      <x v="47"/>
    </i>
    <i r="1">
      <x/>
      <x v="101"/>
    </i>
    <i r="1">
      <x v="1"/>
      <x v="76"/>
    </i>
    <i r="1">
      <x v="2"/>
      <x v="110"/>
    </i>
    <i r="1">
      <x v="3"/>
      <x v="87"/>
    </i>
    <i r="1">
      <x v="4"/>
      <x v="78"/>
    </i>
    <i r="1">
      <x v="5"/>
      <x v="36"/>
    </i>
    <i r="1">
      <x v="6"/>
      <x v="100"/>
    </i>
    <i r="1">
      <x v="7"/>
      <x v="108"/>
    </i>
    <i r="1">
      <x v="8"/>
      <x v="92"/>
    </i>
    <i r="1">
      <x v="9"/>
      <x v="71"/>
    </i>
    <i r="1">
      <x v="10"/>
      <x v="75"/>
    </i>
    <i r="1">
      <x v="11"/>
      <x v="99"/>
    </i>
    <i r="1">
      <x v="12"/>
      <x v="55"/>
    </i>
    <i r="1">
      <x v="13"/>
      <x v="85"/>
    </i>
    <i r="1">
      <x v="14"/>
      <x v="4"/>
    </i>
    <i r="1">
      <x v="15"/>
      <x v="11"/>
    </i>
    <i r="2">
      <x v="117"/>
    </i>
    <i r="1">
      <x v="17"/>
      <x v="74"/>
    </i>
    <i r="2">
      <x v="96"/>
    </i>
    <i r="1">
      <x v="19"/>
      <x v="66"/>
    </i>
    <i t="blank">
      <x v="47"/>
    </i>
    <i>
      <x v="48"/>
    </i>
    <i r="1">
      <x/>
      <x v="76"/>
    </i>
    <i r="1">
      <x v="1"/>
      <x v="101"/>
    </i>
    <i r="1">
      <x v="2"/>
      <x v="110"/>
    </i>
    <i r="1">
      <x v="3"/>
      <x v="108"/>
    </i>
    <i r="1">
      <x v="4"/>
      <x v="100"/>
    </i>
    <i r="1">
      <x v="5"/>
      <x v="78"/>
    </i>
    <i r="2">
      <x v="87"/>
    </i>
    <i r="1">
      <x v="7"/>
      <x v="75"/>
    </i>
    <i r="1">
      <x v="8"/>
      <x v="95"/>
    </i>
    <i r="1">
      <x v="9"/>
      <x/>
    </i>
    <i r="2">
      <x v="92"/>
    </i>
    <i r="1">
      <x v="11"/>
      <x v="10"/>
    </i>
    <i r="2">
      <x v="11"/>
    </i>
    <i r="1">
      <x v="13"/>
      <x v="13"/>
    </i>
    <i r="2">
      <x v="71"/>
    </i>
    <i r="2">
      <x v="84"/>
    </i>
    <i r="2">
      <x v="99"/>
    </i>
    <i r="1">
      <x v="17"/>
      <x v="2"/>
    </i>
    <i r="2">
      <x v="6"/>
    </i>
    <i r="2">
      <x v="77"/>
    </i>
    <i r="2">
      <x v="96"/>
    </i>
    <i r="2">
      <x v="118"/>
    </i>
    <i t="blank">
      <x v="48"/>
    </i>
    <i>
      <x v="49"/>
    </i>
    <i r="1">
      <x/>
      <x v="95"/>
    </i>
    <i r="1">
      <x v="1"/>
      <x v="101"/>
    </i>
    <i r="1">
      <x v="2"/>
      <x v="96"/>
    </i>
    <i r="1">
      <x v="3"/>
      <x v="92"/>
    </i>
    <i r="1">
      <x v="4"/>
      <x v="100"/>
    </i>
    <i r="1">
      <x v="5"/>
      <x v="75"/>
    </i>
    <i r="2">
      <x v="110"/>
    </i>
    <i r="1">
      <x v="7"/>
      <x v="108"/>
    </i>
    <i r="1">
      <x v="8"/>
      <x v="76"/>
    </i>
    <i r="1">
      <x v="9"/>
      <x v="99"/>
    </i>
    <i r="1">
      <x v="10"/>
      <x v="74"/>
    </i>
    <i r="1">
      <x v="11"/>
      <x v="2"/>
    </i>
    <i r="2">
      <x v="63"/>
    </i>
    <i r="1">
      <x v="13"/>
      <x v="4"/>
    </i>
    <i r="2">
      <x v="62"/>
    </i>
    <i r="1">
      <x v="15"/>
      <x v="13"/>
    </i>
    <i r="2">
      <x v="78"/>
    </i>
    <i r="2">
      <x v="107"/>
    </i>
    <i r="1">
      <x v="18"/>
      <x v="71"/>
    </i>
    <i r="2">
      <x v="115"/>
    </i>
    <i t="blank">
      <x v="49"/>
    </i>
    <i>
      <x v="50"/>
    </i>
    <i r="1">
      <x/>
      <x v="101"/>
    </i>
    <i r="1">
      <x v="1"/>
      <x v="3"/>
    </i>
    <i r="1">
      <x v="2"/>
      <x v="100"/>
    </i>
    <i r="1">
      <x v="3"/>
      <x/>
    </i>
    <i r="1">
      <x v="4"/>
      <x v="92"/>
    </i>
    <i r="1">
      <x v="5"/>
      <x v="63"/>
    </i>
    <i r="1">
      <x v="6"/>
      <x v="11"/>
    </i>
    <i r="1">
      <x v="7"/>
      <x v="62"/>
    </i>
    <i r="2">
      <x v="110"/>
    </i>
    <i r="1">
      <x v="9"/>
      <x v="95"/>
    </i>
    <i r="1">
      <x v="10"/>
      <x v="71"/>
    </i>
    <i r="1">
      <x v="11"/>
      <x v="2"/>
    </i>
    <i r="2">
      <x v="8"/>
    </i>
    <i r="2">
      <x v="13"/>
    </i>
    <i r="1">
      <x v="14"/>
      <x v="74"/>
    </i>
    <i r="1">
      <x v="15"/>
      <x v="61"/>
    </i>
    <i r="2">
      <x v="66"/>
    </i>
    <i r="2">
      <x v="108"/>
    </i>
    <i r="2">
      <x v="115"/>
    </i>
    <i r="1">
      <x v="19"/>
      <x v="9"/>
    </i>
    <i r="2">
      <x v="87"/>
    </i>
    <i t="blank">
      <x v="50"/>
    </i>
    <i>
      <x v="51"/>
    </i>
    <i r="1">
      <x/>
      <x v="76"/>
    </i>
    <i r="1">
      <x v="1"/>
      <x v="101"/>
    </i>
    <i r="1">
      <x v="2"/>
      <x v="110"/>
    </i>
    <i r="1">
      <x v="3"/>
      <x v="108"/>
    </i>
    <i r="1">
      <x v="4"/>
      <x v="100"/>
    </i>
    <i r="1">
      <x v="5"/>
      <x v="95"/>
    </i>
    <i r="1">
      <x v="6"/>
      <x v="78"/>
    </i>
    <i r="2">
      <x v="99"/>
    </i>
    <i r="1">
      <x v="8"/>
      <x v="62"/>
    </i>
    <i r="1">
      <x v="9"/>
      <x v="92"/>
    </i>
    <i r="1">
      <x v="10"/>
      <x v="96"/>
    </i>
    <i r="1">
      <x v="11"/>
      <x v="4"/>
    </i>
    <i r="2">
      <x v="74"/>
    </i>
    <i r="1">
      <x v="13"/>
      <x v="107"/>
    </i>
    <i r="1">
      <x v="14"/>
      <x v="9"/>
    </i>
    <i r="2">
      <x v="85"/>
    </i>
    <i r="1">
      <x v="16"/>
      <x v="13"/>
    </i>
    <i r="2">
      <x v="87"/>
    </i>
    <i r="2">
      <x v="109"/>
    </i>
    <i r="1">
      <x v="19"/>
      <x v="71"/>
    </i>
    <i r="2">
      <x v="75"/>
    </i>
    <i t="blank">
      <x v="51"/>
    </i>
    <i>
      <x v="52"/>
    </i>
    <i r="1">
      <x/>
      <x v="63"/>
    </i>
    <i r="1">
      <x v="1"/>
      <x v="25"/>
    </i>
    <i r="1">
      <x v="2"/>
      <x v="115"/>
    </i>
    <i r="1">
      <x v="3"/>
      <x v="76"/>
    </i>
    <i r="1">
      <x v="4"/>
      <x v="100"/>
    </i>
    <i r="1">
      <x v="5"/>
      <x v="101"/>
    </i>
    <i r="1">
      <x v="6"/>
      <x v="10"/>
    </i>
    <i r="1">
      <x v="7"/>
      <x v="2"/>
    </i>
    <i r="1">
      <x v="8"/>
      <x/>
    </i>
    <i r="2">
      <x v="3"/>
    </i>
    <i r="2">
      <x v="5"/>
    </i>
    <i r="2">
      <x v="11"/>
    </i>
    <i r="2">
      <x v="29"/>
    </i>
    <i r="1">
      <x v="13"/>
      <x v="26"/>
    </i>
    <i r="2">
      <x v="92"/>
    </i>
    <i r="1">
      <x v="15"/>
      <x v="28"/>
    </i>
    <i r="2">
      <x v="62"/>
    </i>
    <i r="1">
      <x v="17"/>
      <x v="27"/>
    </i>
    <i r="2">
      <x v="75"/>
    </i>
    <i r="2">
      <x v="110"/>
    </i>
    <i t="blank">
      <x v="52"/>
    </i>
    <i>
      <x v="53"/>
    </i>
    <i r="1">
      <x/>
      <x v="33"/>
    </i>
    <i r="1">
      <x v="1"/>
      <x v="3"/>
    </i>
    <i r="1">
      <x v="2"/>
      <x/>
    </i>
    <i r="2">
      <x v="71"/>
    </i>
    <i r="1">
      <x v="4"/>
      <x v="101"/>
    </i>
    <i r="1">
      <x v="5"/>
      <x v="8"/>
    </i>
    <i r="1">
      <x v="6"/>
      <x v="100"/>
    </i>
    <i r="2">
      <x v="108"/>
    </i>
    <i r="2">
      <x v="115"/>
    </i>
    <i r="1">
      <x v="9"/>
      <x v="11"/>
    </i>
    <i r="2">
      <x v="63"/>
    </i>
    <i r="2">
      <x v="76"/>
    </i>
    <i r="1">
      <x v="12"/>
      <x v="10"/>
    </i>
    <i r="2">
      <x v="13"/>
    </i>
    <i r="2">
      <x v="40"/>
    </i>
    <i r="2">
      <x v="57"/>
    </i>
    <i r="2">
      <x v="61"/>
    </i>
    <i r="2">
      <x v="103"/>
    </i>
    <i r="1">
      <x v="18"/>
      <x v="2"/>
    </i>
    <i r="2">
      <x v="4"/>
    </i>
    <i r="2">
      <x v="55"/>
    </i>
    <i r="2">
      <x v="64"/>
    </i>
    <i r="2">
      <x v="78"/>
    </i>
    <i r="2">
      <x v="92"/>
    </i>
    <i r="2">
      <x v="112"/>
    </i>
    <i r="2">
      <x v="113"/>
    </i>
    <i t="blank">
      <x v="53"/>
    </i>
    <i>
      <x v="54"/>
    </i>
    <i r="1">
      <x/>
      <x v="3"/>
    </i>
    <i r="1">
      <x v="1"/>
      <x v="88"/>
    </i>
    <i r="1">
      <x v="2"/>
      <x/>
    </i>
    <i r="2">
      <x v="67"/>
    </i>
    <i r="2">
      <x v="89"/>
    </i>
    <i r="1">
      <x v="5"/>
      <x v="5"/>
    </i>
    <i r="2">
      <x v="60"/>
    </i>
    <i r="2">
      <x v="62"/>
    </i>
    <i r="1">
      <x v="8"/>
      <x v="19"/>
    </i>
    <i r="2">
      <x v="20"/>
    </i>
    <i r="2">
      <x v="100"/>
    </i>
    <i r="1">
      <x v="11"/>
      <x v="13"/>
    </i>
    <i r="2">
      <x v="34"/>
    </i>
    <i r="2">
      <x v="71"/>
    </i>
    <i r="2">
      <x v="76"/>
    </i>
    <i r="2">
      <x v="90"/>
    </i>
    <i r="2">
      <x v="92"/>
    </i>
    <i r="2">
      <x v="93"/>
    </i>
    <i r="2">
      <x v="95"/>
    </i>
    <i r="2">
      <x v="97"/>
    </i>
    <i r="2">
      <x v="101"/>
    </i>
    <i r="2">
      <x v="108"/>
    </i>
    <i r="2">
      <x v="118"/>
    </i>
    <i t="blank">
      <x v="54"/>
    </i>
    <i>
      <x v="55"/>
    </i>
    <i r="1">
      <x/>
      <x v="3"/>
    </i>
    <i r="1">
      <x v="1"/>
      <x/>
    </i>
    <i r="1">
      <x v="2"/>
      <x v="62"/>
    </i>
    <i r="1">
      <x v="3"/>
      <x v="91"/>
    </i>
    <i r="2">
      <x v="95"/>
    </i>
    <i r="1">
      <x v="5"/>
      <x v="67"/>
    </i>
    <i r="2">
      <x v="90"/>
    </i>
    <i r="2">
      <x v="92"/>
    </i>
    <i r="2">
      <x v="97"/>
    </i>
    <i r="1">
      <x v="9"/>
      <x v="61"/>
    </i>
    <i r="2">
      <x v="88"/>
    </i>
    <i r="2">
      <x v="100"/>
    </i>
    <i r="1">
      <x v="12"/>
      <x v="21"/>
    </i>
    <i r="2">
      <x v="55"/>
    </i>
    <i r="2">
      <x v="59"/>
    </i>
    <i r="2">
      <x v="71"/>
    </i>
    <i r="2">
      <x v="75"/>
    </i>
    <i r="2">
      <x v="87"/>
    </i>
    <i r="2">
      <x v="93"/>
    </i>
    <i r="2">
      <x v="99"/>
    </i>
    <i r="2">
      <x v="105"/>
    </i>
    <i r="2">
      <x v="106"/>
    </i>
    <i t="blank">
      <x v="55"/>
    </i>
    <i>
      <x v="56"/>
    </i>
    <i r="1">
      <x/>
      <x v="88"/>
    </i>
    <i r="1">
      <x v="1"/>
      <x/>
    </i>
    <i r="1">
      <x v="2"/>
      <x v="62"/>
    </i>
    <i r="2">
      <x v="71"/>
    </i>
    <i r="2">
      <x v="101"/>
    </i>
    <i r="1">
      <x v="5"/>
      <x v="92"/>
    </i>
    <i r="1">
      <x v="6"/>
      <x v="61"/>
    </i>
    <i r="2">
      <x v="91"/>
    </i>
    <i r="1">
      <x v="8"/>
      <x v="3"/>
    </i>
    <i r="2">
      <x v="60"/>
    </i>
    <i r="2">
      <x v="67"/>
    </i>
    <i r="2">
      <x v="105"/>
    </i>
    <i r="1">
      <x v="12"/>
      <x v="58"/>
    </i>
    <i r="2">
      <x v="64"/>
    </i>
    <i r="2">
      <x v="68"/>
    </i>
    <i r="2">
      <x v="96"/>
    </i>
    <i r="2">
      <x v="97"/>
    </i>
    <i r="1">
      <x v="17"/>
      <x v="2"/>
    </i>
    <i r="2">
      <x v="11"/>
    </i>
    <i r="2">
      <x v="89"/>
    </i>
    <i r="2">
      <x v="108"/>
    </i>
    <i t="blank">
      <x v="56"/>
    </i>
    <i>
      <x v="57"/>
    </i>
    <i r="1">
      <x/>
      <x v="88"/>
    </i>
    <i r="1">
      <x v="1"/>
      <x v="62"/>
    </i>
    <i r="1">
      <x v="2"/>
      <x/>
    </i>
    <i r="2">
      <x v="91"/>
    </i>
    <i r="1">
      <x v="4"/>
      <x v="11"/>
    </i>
    <i r="2">
      <x v="16"/>
    </i>
    <i r="2">
      <x v="35"/>
    </i>
    <i r="2">
      <x v="42"/>
    </i>
    <i r="2">
      <x v="63"/>
    </i>
    <i r="2">
      <x v="100"/>
    </i>
    <i r="2">
      <x v="114"/>
    </i>
    <i r="2">
      <x v="119"/>
    </i>
    <i t="blank">
      <x v="57"/>
    </i>
    <i>
      <x v="58"/>
    </i>
    <i r="1">
      <x/>
      <x v="88"/>
    </i>
    <i r="1">
      <x v="1"/>
      <x v="89"/>
    </i>
    <i r="1">
      <x v="2"/>
      <x v="5"/>
    </i>
    <i r="2">
      <x v="14"/>
    </i>
    <i r="2">
      <x v="71"/>
    </i>
    <i r="2">
      <x v="96"/>
    </i>
    <i r="1">
      <x v="6"/>
      <x v="11"/>
    </i>
    <i r="2">
      <x v="13"/>
    </i>
    <i r="2">
      <x v="58"/>
    </i>
    <i r="2">
      <x v="61"/>
    </i>
    <i r="2">
      <x v="63"/>
    </i>
    <i r="2">
      <x v="67"/>
    </i>
    <i r="2">
      <x v="92"/>
    </i>
    <i r="2">
      <x v="95"/>
    </i>
    <i r="2">
      <x v="105"/>
    </i>
    <i r="1">
      <x v="15"/>
      <x v="24"/>
    </i>
    <i r="2">
      <x v="43"/>
    </i>
    <i r="2">
      <x v="55"/>
    </i>
    <i r="2">
      <x v="60"/>
    </i>
    <i r="2">
      <x v="62"/>
    </i>
    <i r="2">
      <x v="65"/>
    </i>
    <i r="2">
      <x v="94"/>
    </i>
    <i r="2">
      <x v="100"/>
    </i>
    <i r="2">
      <x v="101"/>
    </i>
    <i r="2">
      <x v="106"/>
    </i>
    <i t="blank">
      <x v="58"/>
    </i>
    <i>
      <x v="59"/>
    </i>
    <i r="1">
      <x/>
      <x v="88"/>
    </i>
    <i r="1">
      <x v="1"/>
      <x v="89"/>
    </i>
    <i r="1">
      <x v="2"/>
      <x v="96"/>
    </i>
    <i r="2">
      <x v="105"/>
    </i>
    <i r="1">
      <x v="4"/>
      <x v="3"/>
    </i>
    <i r="2">
      <x v="71"/>
    </i>
    <i r="2">
      <x v="101"/>
    </i>
    <i r="1">
      <x v="7"/>
      <x v="11"/>
    </i>
    <i r="2">
      <x v="69"/>
    </i>
    <i r="2">
      <x v="92"/>
    </i>
    <i r="1">
      <x v="10"/>
      <x v="7"/>
    </i>
    <i r="2">
      <x v="13"/>
    </i>
    <i r="2">
      <x v="30"/>
    </i>
    <i r="2">
      <x v="58"/>
    </i>
    <i r="2">
      <x v="61"/>
    </i>
    <i r="2">
      <x v="62"/>
    </i>
    <i r="2">
      <x v="91"/>
    </i>
    <i r="2">
      <x v="94"/>
    </i>
    <i r="2">
      <x v="95"/>
    </i>
    <i r="2">
      <x v="100"/>
    </i>
    <i r="2">
      <x v="106"/>
    </i>
    <i r="2">
      <x v="108"/>
    </i>
    <i r="2">
      <x v="114"/>
    </i>
    <i t="blank">
      <x v="59"/>
    </i>
    <i>
      <x v="60"/>
    </i>
    <i r="1">
      <x/>
      <x v="88"/>
    </i>
    <i r="1">
      <x v="1"/>
      <x v="105"/>
    </i>
    <i r="1">
      <x v="2"/>
      <x v="92"/>
    </i>
    <i r="1">
      <x v="3"/>
      <x v="62"/>
    </i>
    <i r="1">
      <x v="4"/>
      <x v="95"/>
    </i>
    <i r="2">
      <x v="101"/>
    </i>
    <i r="1">
      <x v="6"/>
      <x v="89"/>
    </i>
    <i r="2">
      <x v="96"/>
    </i>
    <i r="1">
      <x v="8"/>
      <x v="11"/>
    </i>
    <i r="1">
      <x v="9"/>
      <x v="39"/>
    </i>
    <i r="2">
      <x v="71"/>
    </i>
    <i r="2">
      <x v="76"/>
    </i>
    <i r="2">
      <x v="100"/>
    </i>
    <i r="1">
      <x v="13"/>
      <x v="2"/>
    </i>
    <i r="2">
      <x v="5"/>
    </i>
    <i r="2">
      <x v="64"/>
    </i>
    <i r="2">
      <x v="67"/>
    </i>
    <i r="1">
      <x v="17"/>
      <x/>
    </i>
    <i r="2">
      <x v="3"/>
    </i>
    <i r="2">
      <x v="4"/>
    </i>
    <i r="2">
      <x v="7"/>
    </i>
    <i r="2">
      <x v="13"/>
    </i>
    <i r="2">
      <x v="15"/>
    </i>
    <i r="2">
      <x v="32"/>
    </i>
    <i r="2">
      <x v="58"/>
    </i>
    <i r="2">
      <x v="63"/>
    </i>
    <i r="2">
      <x v="91"/>
    </i>
    <i r="2">
      <x v="93"/>
    </i>
    <i r="2">
      <x v="118"/>
    </i>
    <i t="blank">
      <x v="60"/>
    </i>
    <i>
      <x v="61"/>
    </i>
    <i r="1">
      <x/>
      <x v="41"/>
    </i>
    <i r="1">
      <x v="1"/>
      <x v="71"/>
    </i>
    <i r="2">
      <x v="88"/>
    </i>
    <i r="1">
      <x v="3"/>
      <x v="67"/>
    </i>
    <i r="2">
      <x v="89"/>
    </i>
    <i r="2">
      <x v="95"/>
    </i>
    <i r="2">
      <x v="98"/>
    </i>
    <i r="2">
      <x v="101"/>
    </i>
    <i r="2">
      <x v="105"/>
    </i>
    <i t="blank">
      <x v="61"/>
    </i>
    <i>
      <x v="62"/>
    </i>
    <i r="1">
      <x/>
      <x v="96"/>
    </i>
    <i r="1">
      <x v="1"/>
      <x v="88"/>
    </i>
    <i r="1">
      <x v="2"/>
      <x v="95"/>
    </i>
    <i r="1">
      <x v="3"/>
      <x v="92"/>
    </i>
    <i r="1">
      <x v="4"/>
      <x v="101"/>
    </i>
    <i r="1">
      <x v="5"/>
      <x v="97"/>
    </i>
    <i r="1">
      <x v="6"/>
      <x v="14"/>
    </i>
    <i r="2">
      <x v="100"/>
    </i>
    <i r="1">
      <x v="8"/>
      <x v="91"/>
    </i>
    <i r="2">
      <x v="105"/>
    </i>
    <i r="1">
      <x v="10"/>
      <x v="39"/>
    </i>
    <i r="2">
      <x v="108"/>
    </i>
    <i r="2">
      <x v="110"/>
    </i>
    <i r="1">
      <x v="13"/>
      <x v="63"/>
    </i>
    <i r="2">
      <x v="76"/>
    </i>
    <i r="2">
      <x v="79"/>
    </i>
    <i r="2">
      <x v="89"/>
    </i>
    <i r="1">
      <x v="17"/>
      <x v="3"/>
    </i>
    <i r="2">
      <x v="11"/>
    </i>
    <i r="2">
      <x v="61"/>
    </i>
    <i r="2">
      <x v="71"/>
    </i>
    <i r="2">
      <x v="118"/>
    </i>
    <i t="blank">
      <x v="62"/>
    </i>
    <i>
      <x v="63"/>
    </i>
    <i r="1">
      <x/>
      <x v="88"/>
    </i>
    <i r="1">
      <x v="1"/>
      <x v="95"/>
    </i>
    <i r="1">
      <x v="2"/>
      <x v="12"/>
    </i>
    <i r="2">
      <x v="17"/>
    </i>
    <i r="2">
      <x v="23"/>
    </i>
    <i r="2">
      <x v="60"/>
    </i>
    <i r="2">
      <x v="89"/>
    </i>
    <i r="2">
      <x v="111"/>
    </i>
    <i r="2">
      <x v="115"/>
    </i>
    <i t="blank">
      <x v="63"/>
    </i>
    <i>
      <x v="64"/>
    </i>
    <i r="1">
      <x/>
      <x v="88"/>
    </i>
    <i r="1">
      <x v="1"/>
      <x v="76"/>
    </i>
    <i r="2">
      <x v="89"/>
    </i>
    <i r="1">
      <x v="3"/>
      <x v="71"/>
    </i>
    <i r="1">
      <x v="4"/>
      <x v="95"/>
    </i>
    <i r="1">
      <x v="5"/>
      <x v="105"/>
    </i>
    <i r="1">
      <x v="6"/>
      <x v="91"/>
    </i>
    <i r="2">
      <x v="103"/>
    </i>
    <i r="1">
      <x v="8"/>
      <x v="87"/>
    </i>
    <i r="2">
      <x v="97"/>
    </i>
    <i r="1">
      <x v="10"/>
      <x/>
    </i>
    <i r="2">
      <x v="11"/>
    </i>
    <i r="2">
      <x v="69"/>
    </i>
    <i r="2">
      <x v="80"/>
    </i>
    <i r="2">
      <x v="92"/>
    </i>
    <i r="2">
      <x v="94"/>
    </i>
    <i r="2">
      <x v="96"/>
    </i>
    <i r="2">
      <x v="98"/>
    </i>
    <i r="1">
      <x v="18"/>
      <x v="1"/>
    </i>
    <i r="2">
      <x v="9"/>
    </i>
    <i r="2">
      <x v="13"/>
    </i>
    <i r="2">
      <x v="23"/>
    </i>
    <i r="2">
      <x v="41"/>
    </i>
    <i r="2">
      <x v="57"/>
    </i>
    <i r="2">
      <x v="61"/>
    </i>
    <i r="2">
      <x v="62"/>
    </i>
    <i r="2">
      <x v="66"/>
    </i>
    <i r="2">
      <x v="72"/>
    </i>
    <i r="2">
      <x v="104"/>
    </i>
    <i r="2">
      <x v="116"/>
    </i>
    <i t="blank">
      <x v="6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926">
      <pivotArea field="2" type="button" dataOnly="0" labelOnly="1" outline="0" axis="axisRow" fieldPosition="0"/>
    </format>
    <format dxfId="925">
      <pivotArea outline="0" fieldPosition="0">
        <references count="1">
          <reference field="4294967294" count="1">
            <x v="0"/>
          </reference>
        </references>
      </pivotArea>
    </format>
    <format dxfId="924">
      <pivotArea outline="0" fieldPosition="0">
        <references count="1">
          <reference field="4294967294" count="1">
            <x v="1"/>
          </reference>
        </references>
      </pivotArea>
    </format>
    <format dxfId="923">
      <pivotArea outline="0" fieldPosition="0">
        <references count="1">
          <reference field="4294967294" count="1">
            <x v="2"/>
          </reference>
        </references>
      </pivotArea>
    </format>
    <format dxfId="922">
      <pivotArea outline="0" fieldPosition="0">
        <references count="1">
          <reference field="4294967294" count="1">
            <x v="3"/>
          </reference>
        </references>
      </pivotArea>
    </format>
    <format dxfId="921">
      <pivotArea outline="0" fieldPosition="0">
        <references count="1">
          <reference field="4294967294" count="1">
            <x v="4"/>
          </reference>
        </references>
      </pivotArea>
    </format>
    <format dxfId="920">
      <pivotArea outline="0" fieldPosition="0">
        <references count="1">
          <reference field="4294967294" count="1">
            <x v="5"/>
          </reference>
        </references>
      </pivotArea>
    </format>
    <format dxfId="919">
      <pivotArea outline="0" fieldPosition="0">
        <references count="1">
          <reference field="4294967294" count="1">
            <x v="6"/>
          </reference>
        </references>
      </pivotArea>
    </format>
    <format dxfId="918">
      <pivotArea field="2" type="button" dataOnly="0" labelOnly="1" outline="0" axis="axisRow" fieldPosition="0"/>
    </format>
    <format dxfId="9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6">
      <pivotArea field="2" type="button" dataOnly="0" labelOnly="1" outline="0" axis="axisRow" fieldPosition="0"/>
    </format>
    <format dxfId="9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4">
      <pivotArea field="2" type="button" dataOnly="0" labelOnly="1" outline="0" axis="axisRow" fieldPosition="0"/>
    </format>
    <format dxfId="9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5A4C30-2E13-46C8-9D79-E32D01DDD9E5}" name="LTBL_13000" displayName="LTBL_13000" ref="B4:I20" totalsRowCount="1">
  <autoFilter ref="B4:I19" xr:uid="{F15A4C30-2E13-46C8-9D79-E32D01DDD9E5}"/>
  <tableColumns count="8">
    <tableColumn id="9" xr3:uid="{CA6ADA62-7733-4181-ADA7-9008F1A78DEE}" name="産業大分類" totalsRowLabel="合計" totalsRowDxfId="909"/>
    <tableColumn id="10" xr3:uid="{9E716277-5F1C-4AF7-B6AB-79CECDF1EF07}" name="総数／事業所数" totalsRowFunction="custom" totalsRowDxfId="908" dataCellStyle="桁区切り" totalsRowCellStyle="桁区切り">
      <totalsRowFormula>SUM(LTBL_13000[総数／事業所数])</totalsRowFormula>
    </tableColumn>
    <tableColumn id="11" xr3:uid="{909D3DE3-923F-4A18-9615-112F7477D5D3}" name="総数／構成比" dataDxfId="907"/>
    <tableColumn id="12" xr3:uid="{799D9A3D-296E-47A9-B3F8-9E22FB3547B0}" name="個人／事業所数" totalsRowFunction="sum" totalsRowDxfId="906" dataCellStyle="桁区切り" totalsRowCellStyle="桁区切り"/>
    <tableColumn id="13" xr3:uid="{80915992-160F-43E8-8015-DFA514A12DE4}" name="個人／構成比" dataDxfId="905"/>
    <tableColumn id="14" xr3:uid="{0416FF92-E599-4711-BABD-24709E1E38E8}" name="法人／事業所数" totalsRowFunction="sum" totalsRowDxfId="904" dataCellStyle="桁区切り" totalsRowCellStyle="桁区切り"/>
    <tableColumn id="15" xr3:uid="{B49298F4-F037-4D59-AF1F-52C37CD8BEB7}" name="法人／構成比" dataDxfId="903"/>
    <tableColumn id="16" xr3:uid="{D35C20B6-B739-41C3-98FD-6FB23D93D130}" name="法人以外の団体／事業所数" totalsRowFunction="sum" totalsRowDxfId="90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52D1E2C-202F-4E5D-B594-6D3727DB38F1}" name="LTBL_13102" displayName="LTBL_13102" ref="B4:I20" totalsRowCount="1">
  <autoFilter ref="B4:I19" xr:uid="{052D1E2C-202F-4E5D-B594-6D3727DB38F1}"/>
  <tableColumns count="8">
    <tableColumn id="9" xr3:uid="{361286E1-1CE6-4EA6-9A9F-16A3BD61FD0A}" name="産業大分類" totalsRowLabel="合計" totalsRowDxfId="867"/>
    <tableColumn id="10" xr3:uid="{FFCA50E7-138D-416A-A3A3-075FB4DB6E31}" name="総数／事業所数" totalsRowFunction="custom" totalsRowDxfId="866" dataCellStyle="桁区切り" totalsRowCellStyle="桁区切り">
      <totalsRowFormula>SUM(LTBL_13102[総数／事業所数])</totalsRowFormula>
    </tableColumn>
    <tableColumn id="11" xr3:uid="{48C3E7CE-1BB1-4C98-82C4-4CD82C0697DC}" name="総数／構成比" dataDxfId="865"/>
    <tableColumn id="12" xr3:uid="{8481AB1A-997D-4905-A036-66AB29F1DC16}" name="個人／事業所数" totalsRowFunction="sum" totalsRowDxfId="864" dataCellStyle="桁区切り" totalsRowCellStyle="桁区切り"/>
    <tableColumn id="13" xr3:uid="{0B33C353-0F08-4B79-B545-6028C28B93F6}" name="個人／構成比" dataDxfId="863"/>
    <tableColumn id="14" xr3:uid="{E17BA4F7-3CF4-40D3-8C85-47038B218DE5}" name="法人／事業所数" totalsRowFunction="sum" totalsRowDxfId="862" dataCellStyle="桁区切り" totalsRowCellStyle="桁区切り"/>
    <tableColumn id="15" xr3:uid="{1F836833-95CB-40ED-9F90-DA9927ADDE22}" name="法人／構成比" dataDxfId="861"/>
    <tableColumn id="16" xr3:uid="{0F3E2EF9-56E4-4E05-AE5E-0D0621B3CEA6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214732B-5F4F-4972-B4D7-5A5348033A0A}" name="LTBL_13208" displayName="LTBL_13208" ref="B4:I20" totalsRowCount="1">
  <autoFilter ref="B4:I19" xr:uid="{5214732B-5F4F-4972-B4D7-5A5348033A0A}"/>
  <tableColumns count="8">
    <tableColumn id="9" xr3:uid="{89E3E008-8338-4716-A0E1-AC1626F5A5E3}" name="産業大分類" totalsRowLabel="合計" totalsRowDxfId="447"/>
    <tableColumn id="10" xr3:uid="{EA39869F-BBB2-4EB6-953C-79C032899162}" name="総数／事業所数" totalsRowFunction="custom" totalsRowDxfId="446" dataCellStyle="桁区切り" totalsRowCellStyle="桁区切り">
      <totalsRowFormula>SUM(LTBL_13208[総数／事業所数])</totalsRowFormula>
    </tableColumn>
    <tableColumn id="11" xr3:uid="{5CC9523E-2403-4467-8B9B-C847A5167553}" name="総数／構成比" dataDxfId="445"/>
    <tableColumn id="12" xr3:uid="{407769B2-3489-462C-B508-D376E926FB74}" name="個人／事業所数" totalsRowFunction="sum" totalsRowDxfId="444" dataCellStyle="桁区切り" totalsRowCellStyle="桁区切り"/>
    <tableColumn id="13" xr3:uid="{915B090D-9630-4E3B-BB8F-448392513014}" name="個人／構成比" dataDxfId="443"/>
    <tableColumn id="14" xr3:uid="{229C43C5-2574-4B6D-9A02-ABF1FD483322}" name="法人／事業所数" totalsRowFunction="sum" totalsRowDxfId="442" dataCellStyle="桁区切り" totalsRowCellStyle="桁区切り"/>
    <tableColumn id="15" xr3:uid="{D3F3D5B1-29C5-41D6-8896-110EC06C5F3E}" name="法人／構成比" dataDxfId="441"/>
    <tableColumn id="16" xr3:uid="{F22AF185-7999-43AF-8078-A8E8C42C9ECA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2045C732-6E42-4558-8154-DF3AA680E93B}" name="M_TABLE_13208" displayName="M_TABLE_13208" ref="B23:I43" totalsRowShown="0">
  <autoFilter ref="B23:I43" xr:uid="{2045C732-6E42-4558-8154-DF3AA680E93B}"/>
  <tableColumns count="8">
    <tableColumn id="9" xr3:uid="{6EA5707A-CD95-4C2A-A0CC-EC992FEEB651}" name="産業中分類上位２０"/>
    <tableColumn id="10" xr3:uid="{A1E4615A-F32D-4952-822F-E790DDAE11F8}" name="総数／事業所数" dataCellStyle="桁区切り"/>
    <tableColumn id="11" xr3:uid="{6183C4AC-9EE6-4FD5-85E5-51BC323D59E4}" name="総数／構成比" dataDxfId="439"/>
    <tableColumn id="12" xr3:uid="{9FC01059-8538-4D38-8E9A-FE80D1E27A88}" name="個人／事業所数" dataCellStyle="桁区切り"/>
    <tableColumn id="13" xr3:uid="{1D82393D-54B3-4DA2-AB79-68A9E340F04C}" name="個人／構成比" dataDxfId="438"/>
    <tableColumn id="14" xr3:uid="{0B5B0D8A-5FDA-4D40-B9FE-47415A6C38DB}" name="法人／事業所数" dataCellStyle="桁区切り"/>
    <tableColumn id="15" xr3:uid="{D23D7CA9-3026-4C0F-937F-6ABF5ADE03B8}" name="法人／構成比" dataDxfId="437"/>
    <tableColumn id="16" xr3:uid="{1E465A66-0B52-426E-9930-2759D84BB36A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83F3305-E50C-4A6E-BF84-1163AAF5FB3F}" name="S_TABLE_13208" displayName="S_TABLE_13208" ref="B46:I67" totalsRowShown="0">
  <autoFilter ref="B46:I67" xr:uid="{683F3305-E50C-4A6E-BF84-1163AAF5FB3F}"/>
  <tableColumns count="8">
    <tableColumn id="9" xr3:uid="{29A7F5D5-B658-43D4-A9C7-D64348464293}" name="産業小分類上位２０"/>
    <tableColumn id="10" xr3:uid="{4689707F-9BC0-42E0-A0CE-DD10CD91AD56}" name="総数／事業所数" dataCellStyle="桁区切り"/>
    <tableColumn id="11" xr3:uid="{B1D6A9D1-F2A3-4712-9F66-E95B8F6B9F8B}" name="総数／構成比" dataDxfId="436"/>
    <tableColumn id="12" xr3:uid="{5BCE113F-E21C-4E49-8B74-6382A1329B6C}" name="個人／事業所数" dataCellStyle="桁区切り"/>
    <tableColumn id="13" xr3:uid="{81574716-41B8-40E4-B870-945CB25CBD5A}" name="個人／構成比" dataDxfId="435"/>
    <tableColumn id="14" xr3:uid="{5C8EEA12-B324-4A76-864B-A7A71D3A85E6}" name="法人／事業所数" dataCellStyle="桁区切り"/>
    <tableColumn id="15" xr3:uid="{DB3FAA76-49BB-434F-A416-651CEC5159AA}" name="法人／構成比" dataDxfId="434"/>
    <tableColumn id="16" xr3:uid="{C6DBC3A6-8081-40F8-BE32-2E996079000E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6A6BF07D-AF98-49B4-B61F-8822B48E77DF}" name="LTBL_13209" displayName="LTBL_13209" ref="B4:I20" totalsRowCount="1">
  <autoFilter ref="B4:I19" xr:uid="{6A6BF07D-AF98-49B4-B61F-8822B48E77DF}"/>
  <tableColumns count="8">
    <tableColumn id="9" xr3:uid="{0D2A7D9D-766A-49ED-B004-3BA5C510D258}" name="産業大分類" totalsRowLabel="合計" totalsRowDxfId="433"/>
    <tableColumn id="10" xr3:uid="{30FE1893-2FB0-4689-9A1F-C84853F5EA4F}" name="総数／事業所数" totalsRowFunction="custom" totalsRowDxfId="432" dataCellStyle="桁区切り" totalsRowCellStyle="桁区切り">
      <totalsRowFormula>SUM(LTBL_13209[総数／事業所数])</totalsRowFormula>
    </tableColumn>
    <tableColumn id="11" xr3:uid="{4E2E3824-BD34-4D8A-8C7C-9C7A83B5138C}" name="総数／構成比" dataDxfId="431"/>
    <tableColumn id="12" xr3:uid="{87E8C172-79DC-4930-9808-9A838D7A125B}" name="個人／事業所数" totalsRowFunction="sum" totalsRowDxfId="430" dataCellStyle="桁区切り" totalsRowCellStyle="桁区切り"/>
    <tableColumn id="13" xr3:uid="{F8355D14-0929-4A61-8271-82858F55D3C6}" name="個人／構成比" dataDxfId="429"/>
    <tableColumn id="14" xr3:uid="{F5D17160-2170-47BB-8E33-9928664FD9BC}" name="法人／事業所数" totalsRowFunction="sum" totalsRowDxfId="428" dataCellStyle="桁区切り" totalsRowCellStyle="桁区切り"/>
    <tableColumn id="15" xr3:uid="{EBF9B472-B401-48AE-98F6-93CD6EDFF042}" name="法人／構成比" dataDxfId="427"/>
    <tableColumn id="16" xr3:uid="{0E8C4EFE-6D26-4998-8C2B-E8D7660F4F2C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E82A5361-A540-403C-B32D-920D10A2DDF1}" name="M_TABLE_13209" displayName="M_TABLE_13209" ref="B23:I43" totalsRowShown="0">
  <autoFilter ref="B23:I43" xr:uid="{E82A5361-A540-403C-B32D-920D10A2DDF1}"/>
  <tableColumns count="8">
    <tableColumn id="9" xr3:uid="{5761D880-F812-4322-B601-8761191AE625}" name="産業中分類上位２０"/>
    <tableColumn id="10" xr3:uid="{C82A0E15-3C4A-4B9D-9FDA-D464E9AADCF5}" name="総数／事業所数" dataCellStyle="桁区切り"/>
    <tableColumn id="11" xr3:uid="{109FF14B-E8B1-4AC7-8058-730DA772FD17}" name="総数／構成比" dataDxfId="425"/>
    <tableColumn id="12" xr3:uid="{D9AED5DB-44E6-4E26-BAAE-ADEF3DABBD69}" name="個人／事業所数" dataCellStyle="桁区切り"/>
    <tableColumn id="13" xr3:uid="{231E82DE-6ED8-4D3D-9AC2-E02FADB8B3CE}" name="個人／構成比" dataDxfId="424"/>
    <tableColumn id="14" xr3:uid="{5880125A-942D-4083-9A73-6B0A725BBB46}" name="法人／事業所数" dataCellStyle="桁区切り"/>
    <tableColumn id="15" xr3:uid="{AF5FFDF9-6A51-4A48-AA6D-8653EBEBCA80}" name="法人／構成比" dataDxfId="423"/>
    <tableColumn id="16" xr3:uid="{B78C63F4-11B9-44D7-8C94-F03F7F634A7C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3B9C6A35-F5D0-48C8-825C-56B2C9BE454C}" name="S_TABLE_13209" displayName="S_TABLE_13209" ref="B46:I66" totalsRowShown="0">
  <autoFilter ref="B46:I66" xr:uid="{3B9C6A35-F5D0-48C8-825C-56B2C9BE454C}"/>
  <tableColumns count="8">
    <tableColumn id="9" xr3:uid="{4672D257-9E0D-450D-80AD-49550F9D5A9F}" name="産業小分類上位２０"/>
    <tableColumn id="10" xr3:uid="{93345731-7F07-4DD2-967E-49603F63CEC6}" name="総数／事業所数" dataCellStyle="桁区切り"/>
    <tableColumn id="11" xr3:uid="{2DDDE3C5-4F8E-43A3-9CFC-2C6C167348C3}" name="総数／構成比" dataDxfId="422"/>
    <tableColumn id="12" xr3:uid="{17BAB127-E483-4796-8EA4-52CCC765F6C2}" name="個人／事業所数" dataCellStyle="桁区切り"/>
    <tableColumn id="13" xr3:uid="{73C0367F-98F3-47A2-B465-133C6FEB4F78}" name="個人／構成比" dataDxfId="421"/>
    <tableColumn id="14" xr3:uid="{B52957A5-96C0-4778-8AD4-FC1D203D0F3A}" name="法人／事業所数" dataCellStyle="桁区切り"/>
    <tableColumn id="15" xr3:uid="{9653BCC6-0258-4FC9-A813-7D8601619ECC}" name="法人／構成比" dataDxfId="420"/>
    <tableColumn id="16" xr3:uid="{0CD318B9-3949-4DA0-BC0E-6C3B6C277A95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3E34D060-61E8-4B4B-92D1-031EE81D07F9}" name="LTBL_13210" displayName="LTBL_13210" ref="B4:I20" totalsRowCount="1">
  <autoFilter ref="B4:I19" xr:uid="{3E34D060-61E8-4B4B-92D1-031EE81D07F9}"/>
  <tableColumns count="8">
    <tableColumn id="9" xr3:uid="{AB90307B-4967-4EDA-9B99-B64E6D4265F9}" name="産業大分類" totalsRowLabel="合計" totalsRowDxfId="419"/>
    <tableColumn id="10" xr3:uid="{08594AB4-E911-42E9-A7E3-E545208F7868}" name="総数／事業所数" totalsRowFunction="custom" totalsRowDxfId="418" dataCellStyle="桁区切り" totalsRowCellStyle="桁区切り">
      <totalsRowFormula>SUM(LTBL_13210[総数／事業所数])</totalsRowFormula>
    </tableColumn>
    <tableColumn id="11" xr3:uid="{71FE3FB1-A2F7-49F3-AE55-E4B7DDD0B948}" name="総数／構成比" dataDxfId="417"/>
    <tableColumn id="12" xr3:uid="{CAFCBDDA-EB17-4C60-AF23-C7B2A127FB9E}" name="個人／事業所数" totalsRowFunction="sum" totalsRowDxfId="416" dataCellStyle="桁区切り" totalsRowCellStyle="桁区切り"/>
    <tableColumn id="13" xr3:uid="{D2A344CE-10F6-4E15-9673-D55C0CC153EC}" name="個人／構成比" dataDxfId="415"/>
    <tableColumn id="14" xr3:uid="{D0023CB0-0145-48F3-8E36-897649468640}" name="法人／事業所数" totalsRowFunction="sum" totalsRowDxfId="414" dataCellStyle="桁区切り" totalsRowCellStyle="桁区切り"/>
    <tableColumn id="15" xr3:uid="{2376F11B-43C8-4783-966B-7A193D1F96DB}" name="法人／構成比" dataDxfId="413"/>
    <tableColumn id="16" xr3:uid="{5794D4D8-13A6-4A17-A9F8-B7E33F5F4A0C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5CC3377D-D5B9-450E-8508-8A046C774DC6}" name="M_TABLE_13210" displayName="M_TABLE_13210" ref="B23:I43" totalsRowShown="0">
  <autoFilter ref="B23:I43" xr:uid="{5CC3377D-D5B9-450E-8508-8A046C774DC6}"/>
  <tableColumns count="8">
    <tableColumn id="9" xr3:uid="{C51508BA-C823-4605-B491-D781F659CCC6}" name="産業中分類上位２０"/>
    <tableColumn id="10" xr3:uid="{5C58F237-A582-412A-808B-7B1F73F8D474}" name="総数／事業所数" dataCellStyle="桁区切り"/>
    <tableColumn id="11" xr3:uid="{68F4277E-67E9-4A5E-9388-86FACDF8B18F}" name="総数／構成比" dataDxfId="411"/>
    <tableColumn id="12" xr3:uid="{EB3F2821-5312-40C3-BB1F-BFC35B055D16}" name="個人／事業所数" dataCellStyle="桁区切り"/>
    <tableColumn id="13" xr3:uid="{F8F5067D-5DB5-46E7-A266-F0A0EDFC1D43}" name="個人／構成比" dataDxfId="410"/>
    <tableColumn id="14" xr3:uid="{BD31BE87-D23B-4876-84CF-3E1F63998091}" name="法人／事業所数" dataCellStyle="桁区切り"/>
    <tableColumn id="15" xr3:uid="{9E580DF7-AD1B-467E-81E4-78482E063AD1}" name="法人／構成比" dataDxfId="409"/>
    <tableColumn id="16" xr3:uid="{888917F2-F862-4243-94A5-A96B90D442D8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E510501-BAA1-47B4-8E81-FFE3D86FDE65}" name="S_TABLE_13210" displayName="S_TABLE_13210" ref="B46:I66" totalsRowShown="0">
  <autoFilter ref="B46:I66" xr:uid="{5E510501-BAA1-47B4-8E81-FFE3D86FDE65}"/>
  <tableColumns count="8">
    <tableColumn id="9" xr3:uid="{EB4516BD-3F21-43D0-8226-673E90C7FCB3}" name="産業小分類上位２０"/>
    <tableColumn id="10" xr3:uid="{57B8099C-A238-4BB8-9029-DBFA274F8806}" name="総数／事業所数" dataCellStyle="桁区切り"/>
    <tableColumn id="11" xr3:uid="{9C7FAF9E-354F-40E6-AEAC-70144C637BF2}" name="総数／構成比" dataDxfId="408"/>
    <tableColumn id="12" xr3:uid="{271650E1-9A2E-49F7-939F-1DDDCB43C2FC}" name="個人／事業所数" dataCellStyle="桁区切り"/>
    <tableColumn id="13" xr3:uid="{0AE6370F-763B-46A4-A1A2-014B7D9646C6}" name="個人／構成比" dataDxfId="407"/>
    <tableColumn id="14" xr3:uid="{DDBA61BA-6D2C-41E3-8783-93DAD7A22769}" name="法人／事業所数" dataCellStyle="桁区切り"/>
    <tableColumn id="15" xr3:uid="{AE1C2488-3623-4D98-844E-2A04B943E076}" name="法人／構成比" dataDxfId="406"/>
    <tableColumn id="16" xr3:uid="{37B2ECDB-DBD9-4696-8E70-9CE5E5CBD82B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B9096DB7-0BE4-4B6B-9239-D1BCB1C63F34}" name="LTBL_13211" displayName="LTBL_13211" ref="B4:I20" totalsRowCount="1">
  <autoFilter ref="B4:I19" xr:uid="{B9096DB7-0BE4-4B6B-9239-D1BCB1C63F34}"/>
  <tableColumns count="8">
    <tableColumn id="9" xr3:uid="{2C77FE65-863B-40C7-BE13-23A1D33838E3}" name="産業大分類" totalsRowLabel="合計" totalsRowDxfId="405"/>
    <tableColumn id="10" xr3:uid="{DB170074-5C1D-4A17-B114-5DE19738A641}" name="総数／事業所数" totalsRowFunction="custom" totalsRowDxfId="404" dataCellStyle="桁区切り" totalsRowCellStyle="桁区切り">
      <totalsRowFormula>SUM(LTBL_13211[総数／事業所数])</totalsRowFormula>
    </tableColumn>
    <tableColumn id="11" xr3:uid="{6BE9398E-0B3E-4F04-9CE7-99D93BFB085C}" name="総数／構成比" dataDxfId="403"/>
    <tableColumn id="12" xr3:uid="{8108FFE6-A974-452F-B570-7342A6A3FBD3}" name="個人／事業所数" totalsRowFunction="sum" totalsRowDxfId="402" dataCellStyle="桁区切り" totalsRowCellStyle="桁区切り"/>
    <tableColumn id="13" xr3:uid="{9143A8A8-3B0E-4975-9FD1-079AD2CF1A3F}" name="個人／構成比" dataDxfId="401"/>
    <tableColumn id="14" xr3:uid="{7EFE3315-28BD-4506-8E38-A51F140B4720}" name="法人／事業所数" totalsRowFunction="sum" totalsRowDxfId="400" dataCellStyle="桁区切り" totalsRowCellStyle="桁区切り"/>
    <tableColumn id="15" xr3:uid="{5CFA750E-3EC6-4A5C-9A23-A1991B7E1FCE}" name="法人／構成比" dataDxfId="399"/>
    <tableColumn id="16" xr3:uid="{9935CD96-B9C1-4DEA-BFDA-91059C2ECA7E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3999473-E49B-4A21-909A-4B1CDA1DC861}" name="M_TABLE_13102" displayName="M_TABLE_13102" ref="B23:I43" totalsRowShown="0">
  <autoFilter ref="B23:I43" xr:uid="{03999473-E49B-4A21-909A-4B1CDA1DC861}"/>
  <tableColumns count="8">
    <tableColumn id="9" xr3:uid="{A5A2405E-1E62-495E-89E6-2CE381F3C21D}" name="産業中分類上位２０"/>
    <tableColumn id="10" xr3:uid="{C085EA09-4E8A-4D75-AC16-9A492F8201E8}" name="総数／事業所数" dataCellStyle="桁区切り"/>
    <tableColumn id="11" xr3:uid="{F7D2A731-225A-462E-AA63-A69AB04858FF}" name="総数／構成比" dataDxfId="859"/>
    <tableColumn id="12" xr3:uid="{97867C75-27F6-41C1-B4AD-C46B88AF23E8}" name="個人／事業所数" dataCellStyle="桁区切り"/>
    <tableColumn id="13" xr3:uid="{D4780584-4866-4CA9-89FF-62FF568A995B}" name="個人／構成比" dataDxfId="858"/>
    <tableColumn id="14" xr3:uid="{3D2CBCE6-4E19-46F0-BFD7-8D4DCF656D85}" name="法人／事業所数" dataCellStyle="桁区切り"/>
    <tableColumn id="15" xr3:uid="{CD67DC18-41E1-4B38-89B1-66234277A852}" name="法人／構成比" dataDxfId="857"/>
    <tableColumn id="16" xr3:uid="{AB9A912F-1B10-44E9-8A56-C41BB2949B4C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C2BF173-777B-43F8-9DC8-589435E2A8B1}" name="M_TABLE_13211" displayName="M_TABLE_13211" ref="B23:I44" totalsRowShown="0">
  <autoFilter ref="B23:I44" xr:uid="{FC2BF173-777B-43F8-9DC8-589435E2A8B1}"/>
  <tableColumns count="8">
    <tableColumn id="9" xr3:uid="{F5ACBCAE-3034-4B5E-A49B-4FF204770CF5}" name="産業中分類上位２０"/>
    <tableColumn id="10" xr3:uid="{8D756971-004F-429F-90B9-C35076A91B77}" name="総数／事業所数" dataCellStyle="桁区切り"/>
    <tableColumn id="11" xr3:uid="{F294BE82-D61E-4D87-9F41-377D70B75CDE}" name="総数／構成比" dataDxfId="397"/>
    <tableColumn id="12" xr3:uid="{5A1358F2-8EDD-464D-B4A0-6BD6CD3275A6}" name="個人／事業所数" dataCellStyle="桁区切り"/>
    <tableColumn id="13" xr3:uid="{3F61CD4F-767F-447A-9BAE-1915B32D9D42}" name="個人／構成比" dataDxfId="396"/>
    <tableColumn id="14" xr3:uid="{667D63AA-FE40-4B8D-B11E-D4D3686B05F0}" name="法人／事業所数" dataCellStyle="桁区切り"/>
    <tableColumn id="15" xr3:uid="{2AA7CDCE-4FE5-4170-B70A-A0B148C38F11}" name="法人／構成比" dataDxfId="395"/>
    <tableColumn id="16" xr3:uid="{24061ECD-7BAC-4335-B214-D3C8379EAED3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A3F73FF-FC4F-469C-B354-475648318F8E}" name="S_TABLE_13211" displayName="S_TABLE_13211" ref="B47:I68" totalsRowShown="0">
  <autoFilter ref="B47:I68" xr:uid="{0A3F73FF-FC4F-469C-B354-475648318F8E}"/>
  <tableColumns count="8">
    <tableColumn id="9" xr3:uid="{F4E25008-2C84-4138-B431-DAF9282F1E2C}" name="産業小分類上位２０"/>
    <tableColumn id="10" xr3:uid="{75ABBAF1-275B-4247-A64A-21775DB46274}" name="総数／事業所数" dataCellStyle="桁区切り"/>
    <tableColumn id="11" xr3:uid="{F7314B8F-5C2F-4193-864E-73D4DEA035A5}" name="総数／構成比" dataDxfId="394"/>
    <tableColumn id="12" xr3:uid="{696E0F5B-6CC3-41F0-A27C-589A3554EF4E}" name="個人／事業所数" dataCellStyle="桁区切り"/>
    <tableColumn id="13" xr3:uid="{305E6D1E-1D5C-40D4-A3C2-FE6992FA125C}" name="個人／構成比" dataDxfId="393"/>
    <tableColumn id="14" xr3:uid="{57317B07-7F5C-4529-8030-0CF66DDEDAD4}" name="法人／事業所数" dataCellStyle="桁区切り"/>
    <tableColumn id="15" xr3:uid="{D7DA8E98-94AD-4B38-B855-718CB1A58C8F}" name="法人／構成比" dataDxfId="392"/>
    <tableColumn id="16" xr3:uid="{7125F3A0-9BB5-4E31-ACAB-A37ADC8310B7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AF486DD-F55A-415A-ADD1-3B12AF457914}" name="LTBL_13212" displayName="LTBL_13212" ref="B4:I20" totalsRowCount="1">
  <autoFilter ref="B4:I19" xr:uid="{EAF486DD-F55A-415A-ADD1-3B12AF457914}"/>
  <tableColumns count="8">
    <tableColumn id="9" xr3:uid="{79E11EE4-3B22-466E-AC66-354629DD2454}" name="産業大分類" totalsRowLabel="合計" totalsRowDxfId="391"/>
    <tableColumn id="10" xr3:uid="{9A883150-1A7F-40F2-8011-204B9F804537}" name="総数／事業所数" totalsRowFunction="custom" totalsRowDxfId="390" dataCellStyle="桁区切り" totalsRowCellStyle="桁区切り">
      <totalsRowFormula>SUM(LTBL_13212[総数／事業所数])</totalsRowFormula>
    </tableColumn>
    <tableColumn id="11" xr3:uid="{2E7034F1-991E-4275-A694-934B3C800C6D}" name="総数／構成比" dataDxfId="389"/>
    <tableColumn id="12" xr3:uid="{6C1FBC2A-A9EC-4544-8F4A-79773AF89608}" name="個人／事業所数" totalsRowFunction="sum" totalsRowDxfId="388" dataCellStyle="桁区切り" totalsRowCellStyle="桁区切り"/>
    <tableColumn id="13" xr3:uid="{29F318D8-5B4C-4CB1-9A48-515C3A1549F9}" name="個人／構成比" dataDxfId="387"/>
    <tableColumn id="14" xr3:uid="{359DDAA2-4D7F-47AD-B635-A2DF0147A883}" name="法人／事業所数" totalsRowFunction="sum" totalsRowDxfId="386" dataCellStyle="桁区切り" totalsRowCellStyle="桁区切り"/>
    <tableColumn id="15" xr3:uid="{8C9E04E6-80FF-461F-9476-04DB308B498B}" name="法人／構成比" dataDxfId="385"/>
    <tableColumn id="16" xr3:uid="{49140C04-9415-4841-A797-575AF0B78E38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F3E376C-F013-40B5-B923-B9FFC001978D}" name="M_TABLE_13212" displayName="M_TABLE_13212" ref="B23:I43" totalsRowShown="0">
  <autoFilter ref="B23:I43" xr:uid="{CF3E376C-F013-40B5-B923-B9FFC001978D}"/>
  <tableColumns count="8">
    <tableColumn id="9" xr3:uid="{B935ADCE-FD90-4917-9B85-8D10EEA9F8E3}" name="産業中分類上位２０"/>
    <tableColumn id="10" xr3:uid="{AE65262B-88A6-4E0F-8DB7-FCD8D1206EE3}" name="総数／事業所数" dataCellStyle="桁区切り"/>
    <tableColumn id="11" xr3:uid="{8FBE8F70-D911-48C4-8053-6EAD4A6511F1}" name="総数／構成比" dataDxfId="383"/>
    <tableColumn id="12" xr3:uid="{6A47C756-5D53-4DD9-A202-F2B53B2AFD52}" name="個人／事業所数" dataCellStyle="桁区切り"/>
    <tableColumn id="13" xr3:uid="{4CD9FD10-9122-4A8F-ACAC-08A8F7962BBA}" name="個人／構成比" dataDxfId="382"/>
    <tableColumn id="14" xr3:uid="{2BEF4DE1-AC32-42A1-9245-A8949FB17462}" name="法人／事業所数" dataCellStyle="桁区切り"/>
    <tableColumn id="15" xr3:uid="{C4D67372-2F9C-4871-8BFC-7924C590C17F}" name="法人／構成比" dataDxfId="381"/>
    <tableColumn id="16" xr3:uid="{F84E00CB-7CA4-4685-AB10-49D04010C354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10EB2D47-7C5A-41A5-BB18-75210D1730E5}" name="S_TABLE_13212" displayName="S_TABLE_13212" ref="B46:I67" totalsRowShown="0">
  <autoFilter ref="B46:I67" xr:uid="{10EB2D47-7C5A-41A5-BB18-75210D1730E5}"/>
  <tableColumns count="8">
    <tableColumn id="9" xr3:uid="{BF822DBC-655D-4E52-A075-F2C0450BC1D5}" name="産業小分類上位２０"/>
    <tableColumn id="10" xr3:uid="{A0D5829A-60C3-4C23-85A5-76C53F7959B6}" name="総数／事業所数" dataCellStyle="桁区切り"/>
    <tableColumn id="11" xr3:uid="{BE562758-0311-408B-B82E-69F31EB825F2}" name="総数／構成比" dataDxfId="380"/>
    <tableColumn id="12" xr3:uid="{5A887F4E-65FD-46C0-AE79-A25C33CD7B1F}" name="個人／事業所数" dataCellStyle="桁区切り"/>
    <tableColumn id="13" xr3:uid="{38F851F2-1DD9-4461-BCF2-D2DBD587AA90}" name="個人／構成比" dataDxfId="379"/>
    <tableColumn id="14" xr3:uid="{F11AE23D-5F68-4A7C-B99A-F6C6F1C93447}" name="法人／事業所数" dataCellStyle="桁区切り"/>
    <tableColumn id="15" xr3:uid="{908C61CD-34D6-48C5-B03A-677EF9CD7A0D}" name="法人／構成比" dataDxfId="378"/>
    <tableColumn id="16" xr3:uid="{67DA8FB2-7E9B-40B8-92D7-0A26884117CF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01D4D46-B375-4036-85C8-5AE04D758D7C}" name="LTBL_13213" displayName="LTBL_13213" ref="B4:I20" totalsRowCount="1">
  <autoFilter ref="B4:I19" xr:uid="{D01D4D46-B375-4036-85C8-5AE04D758D7C}"/>
  <tableColumns count="8">
    <tableColumn id="9" xr3:uid="{39928FFB-23FA-49C0-AB39-D82371B78BC9}" name="産業大分類" totalsRowLabel="合計" totalsRowDxfId="377"/>
    <tableColumn id="10" xr3:uid="{31262EE6-09B6-40F7-B4D1-DFE5CA2A6549}" name="総数／事業所数" totalsRowFunction="custom" totalsRowDxfId="376" dataCellStyle="桁区切り" totalsRowCellStyle="桁区切り">
      <totalsRowFormula>SUM(LTBL_13213[総数／事業所数])</totalsRowFormula>
    </tableColumn>
    <tableColumn id="11" xr3:uid="{B67C7462-825F-414A-9245-75B2CAB250A1}" name="総数／構成比" dataDxfId="375"/>
    <tableColumn id="12" xr3:uid="{03BC031B-9535-4D1A-979A-2FC48CB9535D}" name="個人／事業所数" totalsRowFunction="sum" totalsRowDxfId="374" dataCellStyle="桁区切り" totalsRowCellStyle="桁区切り"/>
    <tableColumn id="13" xr3:uid="{1DA08FA3-30ED-45E0-9E85-2D118356CD45}" name="個人／構成比" dataDxfId="373"/>
    <tableColumn id="14" xr3:uid="{F1106B12-2910-44C4-ABD4-8E28F4806869}" name="法人／事業所数" totalsRowFunction="sum" totalsRowDxfId="372" dataCellStyle="桁区切り" totalsRowCellStyle="桁区切り"/>
    <tableColumn id="15" xr3:uid="{8AD49086-9899-4590-847E-04C578F92F74}" name="法人／構成比" dataDxfId="371"/>
    <tableColumn id="16" xr3:uid="{43A85A27-854B-4CA9-95AF-70A2D4224127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DF5CBD3-2CC3-4D89-A794-B828DD4B1022}" name="M_TABLE_13213" displayName="M_TABLE_13213" ref="B23:I43" totalsRowShown="0">
  <autoFilter ref="B23:I43" xr:uid="{1DF5CBD3-2CC3-4D89-A794-B828DD4B1022}"/>
  <tableColumns count="8">
    <tableColumn id="9" xr3:uid="{A5AFA41A-FDEB-42FA-841C-E6952CF2B5BD}" name="産業中分類上位２０"/>
    <tableColumn id="10" xr3:uid="{34DDF1FD-4A8F-408C-8A73-AEE0F5680AA4}" name="総数／事業所数" dataCellStyle="桁区切り"/>
    <tableColumn id="11" xr3:uid="{D3A9CE60-86D2-4C5B-85D2-503E5723BE46}" name="総数／構成比" dataDxfId="369"/>
    <tableColumn id="12" xr3:uid="{95ADBDA5-5582-4F16-9722-F348AB440E74}" name="個人／事業所数" dataCellStyle="桁区切り"/>
    <tableColumn id="13" xr3:uid="{DA2FF296-4834-4DAD-B9CD-E6FC4419E0F9}" name="個人／構成比" dataDxfId="368"/>
    <tableColumn id="14" xr3:uid="{DFB34A7B-FC46-4267-834D-27E495B223B2}" name="法人／事業所数" dataCellStyle="桁区切り"/>
    <tableColumn id="15" xr3:uid="{E58202B3-AD76-4FF1-AAA7-D34573E1B913}" name="法人／構成比" dataDxfId="367"/>
    <tableColumn id="16" xr3:uid="{216C8EA9-327B-482D-A98A-CDD00969F506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1B39AE23-9277-4E66-9E95-DBF4F2771356}" name="S_TABLE_13213" displayName="S_TABLE_13213" ref="B46:I66" totalsRowShown="0">
  <autoFilter ref="B46:I66" xr:uid="{1B39AE23-9277-4E66-9E95-DBF4F2771356}"/>
  <tableColumns count="8">
    <tableColumn id="9" xr3:uid="{3361B5E9-406B-435B-9D3C-6D247B0A71AD}" name="産業小分類上位２０"/>
    <tableColumn id="10" xr3:uid="{36B3AFAF-DD1D-4857-BBA3-88D45702FAAA}" name="総数／事業所数" dataCellStyle="桁区切り"/>
    <tableColumn id="11" xr3:uid="{42BA76B8-1361-4A6F-8DD3-655093689D05}" name="総数／構成比" dataDxfId="366"/>
    <tableColumn id="12" xr3:uid="{5DA23EAF-8173-4516-98C4-E59D687CC191}" name="個人／事業所数" dataCellStyle="桁区切り"/>
    <tableColumn id="13" xr3:uid="{2D9B5E06-C221-4C56-8E61-6E9ABFBD852B}" name="個人／構成比" dataDxfId="365"/>
    <tableColumn id="14" xr3:uid="{842F0BC4-2C83-42D9-8C6E-99D13593FA3C}" name="法人／事業所数" dataCellStyle="桁区切り"/>
    <tableColumn id="15" xr3:uid="{0CEA214A-A616-4479-9E6A-06EE2593192F}" name="法人／構成比" dataDxfId="364"/>
    <tableColumn id="16" xr3:uid="{90235307-EA03-4355-A94D-6432C0BB901B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205B5E73-21CD-4B4D-B195-0E4CB1DC956C}" name="LTBL_13214" displayName="LTBL_13214" ref="B4:I20" totalsRowCount="1">
  <autoFilter ref="B4:I19" xr:uid="{205B5E73-21CD-4B4D-B195-0E4CB1DC956C}"/>
  <tableColumns count="8">
    <tableColumn id="9" xr3:uid="{618B74AF-D9BE-4C2C-B761-337A196C8656}" name="産業大分類" totalsRowLabel="合計" totalsRowDxfId="363"/>
    <tableColumn id="10" xr3:uid="{A47425CF-82A5-4C65-A52B-7EB3F75A95FA}" name="総数／事業所数" totalsRowFunction="custom" totalsRowDxfId="362" dataCellStyle="桁区切り" totalsRowCellStyle="桁区切り">
      <totalsRowFormula>SUM(LTBL_13214[総数／事業所数])</totalsRowFormula>
    </tableColumn>
    <tableColumn id="11" xr3:uid="{0460862D-89A2-4F59-96C8-F317D4CE7600}" name="総数／構成比" dataDxfId="361"/>
    <tableColumn id="12" xr3:uid="{EAEA1065-37C3-47C2-A890-67CC04580819}" name="個人／事業所数" totalsRowFunction="sum" totalsRowDxfId="360" dataCellStyle="桁区切り" totalsRowCellStyle="桁区切り"/>
    <tableColumn id="13" xr3:uid="{0DFFDFAC-7BFD-4F32-9DB0-BED9E71A1086}" name="個人／構成比" dataDxfId="359"/>
    <tableColumn id="14" xr3:uid="{49BF3C8B-CD2D-4F24-934F-6AED55E811CD}" name="法人／事業所数" totalsRowFunction="sum" totalsRowDxfId="358" dataCellStyle="桁区切り" totalsRowCellStyle="桁区切り"/>
    <tableColumn id="15" xr3:uid="{44C93746-8488-43D6-B81B-089B21D0CBF8}" name="法人／構成比" dataDxfId="357"/>
    <tableColumn id="16" xr3:uid="{879DF054-930E-43AD-9492-1E62CD0A1BE0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412C2D3-A901-4B4E-B4CC-5B081C1A57F2}" name="M_TABLE_13214" displayName="M_TABLE_13214" ref="B23:I45" totalsRowShown="0">
  <autoFilter ref="B23:I45" xr:uid="{C412C2D3-A901-4B4E-B4CC-5B081C1A57F2}"/>
  <tableColumns count="8">
    <tableColumn id="9" xr3:uid="{70DD0D17-EC91-4D20-BD9B-BB957127F3D4}" name="産業中分類上位２０"/>
    <tableColumn id="10" xr3:uid="{2BED76E1-232D-4285-8D1F-9211A02AA360}" name="総数／事業所数" dataCellStyle="桁区切り"/>
    <tableColumn id="11" xr3:uid="{FE5E709E-1B48-4AF7-A6F9-15C1EB74076A}" name="総数／構成比" dataDxfId="355"/>
    <tableColumn id="12" xr3:uid="{E34AC4EC-DA0C-4322-9625-DB8A3003ADA8}" name="個人／事業所数" dataCellStyle="桁区切り"/>
    <tableColumn id="13" xr3:uid="{F62B59E8-0BF1-41CF-B066-8BFD69B40C40}" name="個人／構成比" dataDxfId="354"/>
    <tableColumn id="14" xr3:uid="{DA8E991F-B43C-4372-BDCB-F1CB23276129}" name="法人／事業所数" dataCellStyle="桁区切り"/>
    <tableColumn id="15" xr3:uid="{DEE2829A-8E68-4B05-9542-6DCC1B92D720}" name="法人／構成比" dataDxfId="353"/>
    <tableColumn id="16" xr3:uid="{02448215-14B1-46E6-A3C3-05D240EAD491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11DAA59-F932-4E95-A06C-ED7B9904D625}" name="S_TABLE_13102" displayName="S_TABLE_13102" ref="B46:I66" totalsRowShown="0">
  <autoFilter ref="B46:I66" xr:uid="{511DAA59-F932-4E95-A06C-ED7B9904D625}"/>
  <tableColumns count="8">
    <tableColumn id="9" xr3:uid="{8B5C58D0-0976-438A-BDCD-B0E34426F0BD}" name="産業小分類上位２０"/>
    <tableColumn id="10" xr3:uid="{E416C6E1-AE6B-4F52-AC87-E4B03F94AD4F}" name="総数／事業所数" dataCellStyle="桁区切り"/>
    <tableColumn id="11" xr3:uid="{ECDB3D48-DA4A-4944-A7C8-4EF26A2DFF0D}" name="総数／構成比" dataDxfId="856"/>
    <tableColumn id="12" xr3:uid="{F0699FC2-6058-444B-97AF-CBAC35795AAB}" name="個人／事業所数" dataCellStyle="桁区切り"/>
    <tableColumn id="13" xr3:uid="{9D099685-0F8B-414E-AE82-54865286AE41}" name="個人／構成比" dataDxfId="855"/>
    <tableColumn id="14" xr3:uid="{60772E1E-B399-4AF8-984C-CCA9700727B9}" name="法人／事業所数" dataCellStyle="桁区切り"/>
    <tableColumn id="15" xr3:uid="{2C529EF1-1C38-417E-8613-4F960930CFF1}" name="法人／構成比" dataDxfId="854"/>
    <tableColumn id="16" xr3:uid="{EF0F0AD9-02D4-4743-B216-9DBA6CCF6371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38EF245-74A9-41CA-B004-7AC9B29D169A}" name="S_TABLE_13214" displayName="S_TABLE_13214" ref="B48:I70" totalsRowShown="0">
  <autoFilter ref="B48:I70" xr:uid="{738EF245-74A9-41CA-B004-7AC9B29D169A}"/>
  <tableColumns count="8">
    <tableColumn id="9" xr3:uid="{C14B6E6C-77D7-41F1-99A5-BA95E908FA91}" name="産業小分類上位２０"/>
    <tableColumn id="10" xr3:uid="{2F3AE551-03C9-42FC-9DCE-E68DA12DE1A7}" name="総数／事業所数" dataCellStyle="桁区切り"/>
    <tableColumn id="11" xr3:uid="{7555F7B4-7285-4B8A-8061-B1A130C1C5AF}" name="総数／構成比" dataDxfId="352"/>
    <tableColumn id="12" xr3:uid="{B51C0EDA-F04A-4A93-84A8-11C7F74052FB}" name="個人／事業所数" dataCellStyle="桁区切り"/>
    <tableColumn id="13" xr3:uid="{3276DD94-EB29-44B2-B81D-EFD2C4FF1FBF}" name="個人／構成比" dataDxfId="351"/>
    <tableColumn id="14" xr3:uid="{2E40BB9E-3445-46E6-A0D0-879ACD99F65B}" name="法人／事業所数" dataCellStyle="桁区切り"/>
    <tableColumn id="15" xr3:uid="{ADF8AAFE-635E-433F-9045-73E2EAF2368D}" name="法人／構成比" dataDxfId="350"/>
    <tableColumn id="16" xr3:uid="{7D814B8B-19B0-4F8F-AA7E-A89AF7D6CE9E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79DFCE7D-15B2-4CA9-B61D-AD4293EFF916}" name="LTBL_13215" displayName="LTBL_13215" ref="B4:I20" totalsRowCount="1">
  <autoFilter ref="B4:I19" xr:uid="{79DFCE7D-15B2-4CA9-B61D-AD4293EFF916}"/>
  <tableColumns count="8">
    <tableColumn id="9" xr3:uid="{EFB38CA2-D092-489D-AA03-51DE12256D93}" name="産業大分類" totalsRowLabel="合計" totalsRowDxfId="349"/>
    <tableColumn id="10" xr3:uid="{3E31E698-2F05-4B98-A9DE-8D4A44CC1095}" name="総数／事業所数" totalsRowFunction="custom" totalsRowDxfId="348" dataCellStyle="桁区切り" totalsRowCellStyle="桁区切り">
      <totalsRowFormula>SUM(LTBL_13215[総数／事業所数])</totalsRowFormula>
    </tableColumn>
    <tableColumn id="11" xr3:uid="{9D3A6A65-7D1C-400B-8571-0868311D15FB}" name="総数／構成比" dataDxfId="347"/>
    <tableColumn id="12" xr3:uid="{410CC4D7-549B-47D7-ABAC-71802E44B863}" name="個人／事業所数" totalsRowFunction="sum" totalsRowDxfId="346" dataCellStyle="桁区切り" totalsRowCellStyle="桁区切り"/>
    <tableColumn id="13" xr3:uid="{383C4CAF-F187-4383-9188-BF3D09397564}" name="個人／構成比" dataDxfId="345"/>
    <tableColumn id="14" xr3:uid="{E45DE8F2-BF67-41A4-A193-F669DD9235A6}" name="法人／事業所数" totalsRowFunction="sum" totalsRowDxfId="344" dataCellStyle="桁区切り" totalsRowCellStyle="桁区切り"/>
    <tableColumn id="15" xr3:uid="{173E08DD-6814-4B8B-844C-33D2FF67B760}" name="法人／構成比" dataDxfId="343"/>
    <tableColumn id="16" xr3:uid="{4509B997-B17F-4FEA-83D4-0AB6920F3CDB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843A18D-BE76-470B-BEDF-2F6B992A5A8A}" name="M_TABLE_13215" displayName="M_TABLE_13215" ref="B23:I44" totalsRowShown="0">
  <autoFilter ref="B23:I44" xr:uid="{E843A18D-BE76-470B-BEDF-2F6B992A5A8A}"/>
  <tableColumns count="8">
    <tableColumn id="9" xr3:uid="{FF6E5EB8-28BF-4BF3-90FA-E19B4B880191}" name="産業中分類上位２０"/>
    <tableColumn id="10" xr3:uid="{80381CCC-9C97-4FF6-B7CB-031F8532BEED}" name="総数／事業所数" dataCellStyle="桁区切り"/>
    <tableColumn id="11" xr3:uid="{D5913160-C672-4C5D-9CC9-CDA123C95149}" name="総数／構成比" dataDxfId="341"/>
    <tableColumn id="12" xr3:uid="{6BD5CBC5-5097-4DEC-82A9-DFD52D3FBAF9}" name="個人／事業所数" dataCellStyle="桁区切り"/>
    <tableColumn id="13" xr3:uid="{C8555C79-A7C1-4B8B-9503-781B1AE9EA53}" name="個人／構成比" dataDxfId="340"/>
    <tableColumn id="14" xr3:uid="{2057E4C8-78BC-4B4D-8C75-175820C3F146}" name="法人／事業所数" dataCellStyle="桁区切り"/>
    <tableColumn id="15" xr3:uid="{5B169EB1-FA35-4BE7-8C0D-7FD08B225EC4}" name="法人／構成比" dataDxfId="339"/>
    <tableColumn id="16" xr3:uid="{8D63F09F-C6CE-43C9-BE3A-2A3652E42089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1F767DBA-1354-414B-8DCA-B62271EA755F}" name="S_TABLE_13215" displayName="S_TABLE_13215" ref="B47:I67" totalsRowShown="0">
  <autoFilter ref="B47:I67" xr:uid="{1F767DBA-1354-414B-8DCA-B62271EA755F}"/>
  <tableColumns count="8">
    <tableColumn id="9" xr3:uid="{B1A3FD86-3240-4122-BE20-D8680A48AB1D}" name="産業小分類上位２０"/>
    <tableColumn id="10" xr3:uid="{C070D11C-2AFB-4FE4-81DD-49CA03D9F5A9}" name="総数／事業所数" dataCellStyle="桁区切り"/>
    <tableColumn id="11" xr3:uid="{399A4019-A84D-467F-942C-39F6381ECAC8}" name="総数／構成比" dataDxfId="338"/>
    <tableColumn id="12" xr3:uid="{D6E35AF6-E23A-42AE-9BAD-3890389A93C3}" name="個人／事業所数" dataCellStyle="桁区切り"/>
    <tableColumn id="13" xr3:uid="{AEA03D94-C41F-46F6-8618-5E5898429D82}" name="個人／構成比" dataDxfId="337"/>
    <tableColumn id="14" xr3:uid="{4E28C4D8-F765-42F6-8B15-7EBA0F01FBDE}" name="法人／事業所数" dataCellStyle="桁区切り"/>
    <tableColumn id="15" xr3:uid="{AB03D4B0-D914-41D9-9406-64896E1B6637}" name="法人／構成比" dataDxfId="336"/>
    <tableColumn id="16" xr3:uid="{19A62DD6-F99E-42BE-998C-B52B41800C04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272BFDF-853D-424B-97FE-8A2B10FB4764}" name="LTBL_13218" displayName="LTBL_13218" ref="B4:I20" totalsRowCount="1">
  <autoFilter ref="B4:I19" xr:uid="{2272BFDF-853D-424B-97FE-8A2B10FB4764}"/>
  <tableColumns count="8">
    <tableColumn id="9" xr3:uid="{8718B1A6-60A9-4F8D-AAA5-983B4A23D2D7}" name="産業大分類" totalsRowLabel="合計" totalsRowDxfId="335"/>
    <tableColumn id="10" xr3:uid="{189EB78B-FA46-4DDF-BB8E-17DCB63E25E0}" name="総数／事業所数" totalsRowFunction="custom" totalsRowDxfId="334" dataCellStyle="桁区切り" totalsRowCellStyle="桁区切り">
      <totalsRowFormula>SUM(LTBL_13218[総数／事業所数])</totalsRowFormula>
    </tableColumn>
    <tableColumn id="11" xr3:uid="{7F5C0C02-CE47-49C3-8591-1D9349A0E37A}" name="総数／構成比" dataDxfId="333"/>
    <tableColumn id="12" xr3:uid="{AA2AD6AA-CFC6-48AA-B3C7-602A79B7E047}" name="個人／事業所数" totalsRowFunction="sum" totalsRowDxfId="332" dataCellStyle="桁区切り" totalsRowCellStyle="桁区切り"/>
    <tableColumn id="13" xr3:uid="{6657B7CB-CE5B-4633-855B-84116BAC7403}" name="個人／構成比" dataDxfId="331"/>
    <tableColumn id="14" xr3:uid="{2599D845-8057-44F4-9E9A-0B6B57177B93}" name="法人／事業所数" totalsRowFunction="sum" totalsRowDxfId="330" dataCellStyle="桁区切り" totalsRowCellStyle="桁区切り"/>
    <tableColumn id="15" xr3:uid="{68DD27D7-2A9C-42B0-8654-2FEACEA79CAE}" name="法人／構成比" dataDxfId="329"/>
    <tableColumn id="16" xr3:uid="{9859D5B1-3002-43A6-97A2-0FC165B9A7DF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3EE8A58-BCA0-4475-8907-71209514FDA3}" name="M_TABLE_13218" displayName="M_TABLE_13218" ref="B23:I44" totalsRowShown="0">
  <autoFilter ref="B23:I44" xr:uid="{63EE8A58-BCA0-4475-8907-71209514FDA3}"/>
  <tableColumns count="8">
    <tableColumn id="9" xr3:uid="{818B94E0-9B05-41A7-A97A-A337C4FEBE5A}" name="産業中分類上位２０"/>
    <tableColumn id="10" xr3:uid="{7AC0DE9F-4872-4DC2-A330-9D2D9DEADC02}" name="総数／事業所数" dataCellStyle="桁区切り"/>
    <tableColumn id="11" xr3:uid="{8A82BD84-11AA-424B-8316-29D914E88D7D}" name="総数／構成比" dataDxfId="327"/>
    <tableColumn id="12" xr3:uid="{7E458905-F574-4679-9D8E-5F6A2E50BBAC}" name="個人／事業所数" dataCellStyle="桁区切り"/>
    <tableColumn id="13" xr3:uid="{B439BF41-9998-4EA5-9A45-22BAD48024FD}" name="個人／構成比" dataDxfId="326"/>
    <tableColumn id="14" xr3:uid="{48509D09-62AD-4F63-9FD3-F786F7EFA6CB}" name="法人／事業所数" dataCellStyle="桁区切り"/>
    <tableColumn id="15" xr3:uid="{67DD1171-AFCA-4051-980B-CC1670E02D3F}" name="法人／構成比" dataDxfId="325"/>
    <tableColumn id="16" xr3:uid="{954303B2-7CDE-4E85-A212-76F8D744A388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F80B24C-8801-4A0F-A240-707A3122DC08}" name="S_TABLE_13218" displayName="S_TABLE_13218" ref="B47:I68" totalsRowShown="0">
  <autoFilter ref="B47:I68" xr:uid="{EF80B24C-8801-4A0F-A240-707A3122DC08}"/>
  <tableColumns count="8">
    <tableColumn id="9" xr3:uid="{2E0D3164-DD80-4150-AFA0-C31C7E28B464}" name="産業小分類上位２０"/>
    <tableColumn id="10" xr3:uid="{CD09D130-F769-4F63-9D33-FE7D214B5A9C}" name="総数／事業所数" dataCellStyle="桁区切り"/>
    <tableColumn id="11" xr3:uid="{F1A56805-CA89-41C0-8D90-30F19324ED29}" name="総数／構成比" dataDxfId="324"/>
    <tableColumn id="12" xr3:uid="{BEB76DCE-E84C-4FDE-B677-A28403CE01FF}" name="個人／事業所数" dataCellStyle="桁区切り"/>
    <tableColumn id="13" xr3:uid="{C4AEF75A-55E0-40E7-AA3D-F009D58159F3}" name="個人／構成比" dataDxfId="323"/>
    <tableColumn id="14" xr3:uid="{B59DE9D4-882C-4201-AE7B-2EF6C963725E}" name="法人／事業所数" dataCellStyle="桁区切り"/>
    <tableColumn id="15" xr3:uid="{4A75528E-485D-41F1-AE3E-069DFBBC39D0}" name="法人／構成比" dataDxfId="322"/>
    <tableColumn id="16" xr3:uid="{47C726D3-EC98-469E-9CC6-F8B10CA0C1D4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3E9364D-D62A-4EE3-B13D-712B4334BA9B}" name="LTBL_13219" displayName="LTBL_13219" ref="B4:I20" totalsRowCount="1">
  <autoFilter ref="B4:I19" xr:uid="{03E9364D-D62A-4EE3-B13D-712B4334BA9B}"/>
  <tableColumns count="8">
    <tableColumn id="9" xr3:uid="{25540611-0249-4B59-B8B8-B55B4263AACD}" name="産業大分類" totalsRowLabel="合計" totalsRowDxfId="321"/>
    <tableColumn id="10" xr3:uid="{4F2B706E-C3F5-4D4C-B7EF-C7A13BF97E93}" name="総数／事業所数" totalsRowFunction="custom" totalsRowDxfId="320" dataCellStyle="桁区切り" totalsRowCellStyle="桁区切り">
      <totalsRowFormula>SUM(LTBL_13219[総数／事業所数])</totalsRowFormula>
    </tableColumn>
    <tableColumn id="11" xr3:uid="{865AF0B8-6506-4469-8C91-771EE1C69C93}" name="総数／構成比" dataDxfId="319"/>
    <tableColumn id="12" xr3:uid="{F644AFA6-4740-4478-9232-2E877298396D}" name="個人／事業所数" totalsRowFunction="sum" totalsRowDxfId="318" dataCellStyle="桁区切り" totalsRowCellStyle="桁区切り"/>
    <tableColumn id="13" xr3:uid="{2C63B3DA-2869-4C85-91B7-0E3F8C32B603}" name="個人／構成比" dataDxfId="317"/>
    <tableColumn id="14" xr3:uid="{EC7587F5-CAE0-4FC1-8F65-8F3F9E8E9C60}" name="法人／事業所数" totalsRowFunction="sum" totalsRowDxfId="316" dataCellStyle="桁区切り" totalsRowCellStyle="桁区切り"/>
    <tableColumn id="15" xr3:uid="{6D29AD0D-8D04-4D35-BD8B-20B15331B533}" name="法人／構成比" dataDxfId="315"/>
    <tableColumn id="16" xr3:uid="{D0549FFD-844E-46C7-A744-F81850863D0E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7F12F3A-C3FD-4F84-A280-995135E18D91}" name="M_TABLE_13219" displayName="M_TABLE_13219" ref="B23:I43" totalsRowShown="0">
  <autoFilter ref="B23:I43" xr:uid="{77F12F3A-C3FD-4F84-A280-995135E18D91}"/>
  <tableColumns count="8">
    <tableColumn id="9" xr3:uid="{59B8973B-998C-4DC9-B422-B70BACCDD475}" name="産業中分類上位２０"/>
    <tableColumn id="10" xr3:uid="{7F7F598E-FC48-4F02-8E71-78A1D9FA1F4B}" name="総数／事業所数" dataCellStyle="桁区切り"/>
    <tableColumn id="11" xr3:uid="{9ABD7386-1313-497B-9220-51F7A9BEA91F}" name="総数／構成比" dataDxfId="313"/>
    <tableColumn id="12" xr3:uid="{2DA0C2D8-ADFB-40AD-A6AB-F67F671A7503}" name="個人／事業所数" dataCellStyle="桁区切り"/>
    <tableColumn id="13" xr3:uid="{0B7AAD12-BC0B-4736-B3EA-84AB6B3197AB}" name="個人／構成比" dataDxfId="312"/>
    <tableColumn id="14" xr3:uid="{274FCC7C-74AB-4D09-AB98-733A078A6C54}" name="法人／事業所数" dataCellStyle="桁区切り"/>
    <tableColumn id="15" xr3:uid="{22E797DB-680B-4AB8-BF48-2CA11F2CC739}" name="法人／構成比" dataDxfId="311"/>
    <tableColumn id="16" xr3:uid="{356D21CD-C1BE-4B28-BCDE-CF01A165E3CF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6F8FC201-274A-4DC2-B296-A4AA819173E0}" name="S_TABLE_13219" displayName="S_TABLE_13219" ref="B46:I66" totalsRowShown="0">
  <autoFilter ref="B46:I66" xr:uid="{6F8FC201-274A-4DC2-B296-A4AA819173E0}"/>
  <tableColumns count="8">
    <tableColumn id="9" xr3:uid="{A90334AC-43E5-481B-9675-CD2C71A4937D}" name="産業小分類上位２０"/>
    <tableColumn id="10" xr3:uid="{DBA0D369-F2EF-427D-9619-C5771BCAC631}" name="総数／事業所数" dataCellStyle="桁区切り"/>
    <tableColumn id="11" xr3:uid="{3A0A62D9-7CFF-4003-BDC8-90E03F14B3E6}" name="総数／構成比" dataDxfId="310"/>
    <tableColumn id="12" xr3:uid="{A0FA25A2-E6A6-4500-8C6E-147F136692EC}" name="個人／事業所数" dataCellStyle="桁区切り"/>
    <tableColumn id="13" xr3:uid="{566D59BC-E267-454D-AC67-D92E8F2F8654}" name="個人／構成比" dataDxfId="309"/>
    <tableColumn id="14" xr3:uid="{16C551F7-F35D-40CF-A9D6-98DC8D38C36D}" name="法人／事業所数" dataCellStyle="桁区切り"/>
    <tableColumn id="15" xr3:uid="{E2E1B8AB-2D14-4D60-AB68-43BC13379A02}" name="法人／構成比" dataDxfId="308"/>
    <tableColumn id="16" xr3:uid="{D6E86192-DDE7-448C-88A8-125F32B0ADA0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CA2CF8C-0B59-43DF-A2DC-9B1900420BBA}" name="LTBL_13103" displayName="LTBL_13103" ref="B4:I20" totalsRowCount="1">
  <autoFilter ref="B4:I19" xr:uid="{BCA2CF8C-0B59-43DF-A2DC-9B1900420BBA}"/>
  <tableColumns count="8">
    <tableColumn id="9" xr3:uid="{A31C728F-9A7E-49BC-A3BF-7BB39117417F}" name="産業大分類" totalsRowLabel="合計" totalsRowDxfId="853"/>
    <tableColumn id="10" xr3:uid="{3C4EB071-5661-4DE1-89D7-0D3F5ADD359C}" name="総数／事業所数" totalsRowFunction="custom" totalsRowDxfId="852" dataCellStyle="桁区切り" totalsRowCellStyle="桁区切り">
      <totalsRowFormula>SUM(LTBL_13103[総数／事業所数])</totalsRowFormula>
    </tableColumn>
    <tableColumn id="11" xr3:uid="{B8188B28-802E-403F-95F1-C92FD8CB0189}" name="総数／構成比" dataDxfId="851"/>
    <tableColumn id="12" xr3:uid="{3DB3645F-DCFD-45A7-9742-DC9B533D0CAF}" name="個人／事業所数" totalsRowFunction="sum" totalsRowDxfId="850" dataCellStyle="桁区切り" totalsRowCellStyle="桁区切り"/>
    <tableColumn id="13" xr3:uid="{F7F39031-3F54-4CAF-B4C4-AC6D6B33770E}" name="個人／構成比" dataDxfId="849"/>
    <tableColumn id="14" xr3:uid="{DE4D85C3-3F39-4437-A97C-D2A64F62736F}" name="法人／事業所数" totalsRowFunction="sum" totalsRowDxfId="848" dataCellStyle="桁区切り" totalsRowCellStyle="桁区切り"/>
    <tableColumn id="15" xr3:uid="{C7C1C257-B43B-49FA-B8ED-E14A6C93A03F}" name="法人／構成比" dataDxfId="847"/>
    <tableColumn id="16" xr3:uid="{13710490-E657-4B1B-AF61-F08B42D249EC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E3594D58-B12F-4083-8B49-49E7F82F01F7}" name="LTBL_13220" displayName="LTBL_13220" ref="B4:I20" totalsRowCount="1">
  <autoFilter ref="B4:I19" xr:uid="{E3594D58-B12F-4083-8B49-49E7F82F01F7}"/>
  <tableColumns count="8">
    <tableColumn id="9" xr3:uid="{F6E5B1AB-1EDA-4597-9F5D-F2C4DEE2B6AC}" name="産業大分類" totalsRowLabel="合計" totalsRowDxfId="307"/>
    <tableColumn id="10" xr3:uid="{FB181842-EBC1-4234-8809-6070ADADD295}" name="総数／事業所数" totalsRowFunction="custom" totalsRowDxfId="306" dataCellStyle="桁区切り" totalsRowCellStyle="桁区切り">
      <totalsRowFormula>SUM(LTBL_13220[総数／事業所数])</totalsRowFormula>
    </tableColumn>
    <tableColumn id="11" xr3:uid="{30F2190C-BF3B-4D8E-BE89-9CCBCD339008}" name="総数／構成比" dataDxfId="305"/>
    <tableColumn id="12" xr3:uid="{95DC0E8D-8E0A-432B-A474-6970DC8F9DD1}" name="個人／事業所数" totalsRowFunction="sum" totalsRowDxfId="304" dataCellStyle="桁区切り" totalsRowCellStyle="桁区切り"/>
    <tableColumn id="13" xr3:uid="{A4BFA4B5-B342-4317-AA7D-46253EDFCD3F}" name="個人／構成比" dataDxfId="303"/>
    <tableColumn id="14" xr3:uid="{485AEE06-7D1D-4EFF-A4DA-CE8D09C6B368}" name="法人／事業所数" totalsRowFunction="sum" totalsRowDxfId="302" dataCellStyle="桁区切り" totalsRowCellStyle="桁区切り"/>
    <tableColumn id="15" xr3:uid="{1FCB2968-3DAF-4FAE-81DE-D9BD94D2F329}" name="法人／構成比" dataDxfId="301"/>
    <tableColumn id="16" xr3:uid="{8D407200-A5C0-4DA2-8E50-13E91CD4894F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2F4964D2-FAE0-43DB-A00C-947A6EB38368}" name="M_TABLE_13220" displayName="M_TABLE_13220" ref="B23:I43" totalsRowShown="0">
  <autoFilter ref="B23:I43" xr:uid="{2F4964D2-FAE0-43DB-A00C-947A6EB38368}"/>
  <tableColumns count="8">
    <tableColumn id="9" xr3:uid="{15CBC865-6629-4F8F-BC13-FD02A30BAA95}" name="産業中分類上位２０"/>
    <tableColumn id="10" xr3:uid="{900957A2-D21E-4D84-887E-F5E8DAE1C7FA}" name="総数／事業所数" dataCellStyle="桁区切り"/>
    <tableColumn id="11" xr3:uid="{E1CB4748-BB24-4374-9854-C0310B822536}" name="総数／構成比" dataDxfId="299"/>
    <tableColumn id="12" xr3:uid="{F8037BD6-7246-43B5-891F-1AB8B11DD02B}" name="個人／事業所数" dataCellStyle="桁区切り"/>
    <tableColumn id="13" xr3:uid="{A2B37DFC-AD17-4A1A-A2AC-079851C88AE2}" name="個人／構成比" dataDxfId="298"/>
    <tableColumn id="14" xr3:uid="{CA172030-9E55-41B0-9595-B3ECF8E139AD}" name="法人／事業所数" dataCellStyle="桁区切り"/>
    <tableColumn id="15" xr3:uid="{EBC0B410-A9BF-45EF-9C36-AFFB48164060}" name="法人／構成比" dataDxfId="297"/>
    <tableColumn id="16" xr3:uid="{15FEB4DF-33FF-4D83-9AD4-0EB950F4E05F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FD0D80F7-14D2-4817-828B-8D6BC9A40C75}" name="S_TABLE_13220" displayName="S_TABLE_13220" ref="B46:I67" totalsRowShown="0">
  <autoFilter ref="B46:I67" xr:uid="{FD0D80F7-14D2-4817-828B-8D6BC9A40C75}"/>
  <tableColumns count="8">
    <tableColumn id="9" xr3:uid="{6537F6C3-AF8C-4F2C-9A1A-9D407F2441D9}" name="産業小分類上位２０"/>
    <tableColumn id="10" xr3:uid="{3633EEA1-60C2-4971-B9A1-293FC9886E28}" name="総数／事業所数" dataCellStyle="桁区切り"/>
    <tableColumn id="11" xr3:uid="{F2A8C229-9D15-404E-8057-5183F7F24592}" name="総数／構成比" dataDxfId="296"/>
    <tableColumn id="12" xr3:uid="{FE29FCBD-8217-48EB-B4FE-590D8A70A39B}" name="個人／事業所数" dataCellStyle="桁区切り"/>
    <tableColumn id="13" xr3:uid="{F619B5A4-0A93-4D62-8813-9C5F537B9F1E}" name="個人／構成比" dataDxfId="295"/>
    <tableColumn id="14" xr3:uid="{96C18555-6565-4DD5-8FAC-B99E7E9BA4A3}" name="法人／事業所数" dataCellStyle="桁区切り"/>
    <tableColumn id="15" xr3:uid="{921C20FF-62E9-4820-B9CC-82F74D08D0AA}" name="法人／構成比" dataDxfId="294"/>
    <tableColumn id="16" xr3:uid="{1FDF4AE8-587C-4FAB-8B8A-CF427082E528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DD2E5619-B92F-48AE-A667-50C7AC9681E4}" name="LTBL_13221" displayName="LTBL_13221" ref="B4:I20" totalsRowCount="1">
  <autoFilter ref="B4:I19" xr:uid="{DD2E5619-B92F-48AE-A667-50C7AC9681E4}"/>
  <tableColumns count="8">
    <tableColumn id="9" xr3:uid="{B5764BFF-C0AD-45B7-BDC9-DAD53476971C}" name="産業大分類" totalsRowLabel="合計" totalsRowDxfId="293"/>
    <tableColumn id="10" xr3:uid="{020DBC0A-9B32-46BD-88DE-5C4DC913361F}" name="総数／事業所数" totalsRowFunction="custom" totalsRowDxfId="292" dataCellStyle="桁区切り" totalsRowCellStyle="桁区切り">
      <totalsRowFormula>SUM(LTBL_13221[総数／事業所数])</totalsRowFormula>
    </tableColumn>
    <tableColumn id="11" xr3:uid="{F01AB08A-C8F2-40D7-8D32-11F0CDE6D0E7}" name="総数／構成比" dataDxfId="291"/>
    <tableColumn id="12" xr3:uid="{6438614C-561B-40CC-B89C-95EBEA57DA45}" name="個人／事業所数" totalsRowFunction="sum" totalsRowDxfId="290" dataCellStyle="桁区切り" totalsRowCellStyle="桁区切り"/>
    <tableColumn id="13" xr3:uid="{A84353C5-1CE7-42EE-9E62-9468725CCC13}" name="個人／構成比" dataDxfId="289"/>
    <tableColumn id="14" xr3:uid="{6EE1FEEE-F971-41D0-8563-03668EA90921}" name="法人／事業所数" totalsRowFunction="sum" totalsRowDxfId="288" dataCellStyle="桁区切り" totalsRowCellStyle="桁区切り"/>
    <tableColumn id="15" xr3:uid="{F308373D-2B33-4EC3-919E-8F6D47240338}" name="法人／構成比" dataDxfId="287"/>
    <tableColumn id="16" xr3:uid="{51645A7F-FC59-4E28-84C8-C80B71D19D1A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DC683E9D-83A0-45DB-89F1-1D64C4023C84}" name="M_TABLE_13221" displayName="M_TABLE_13221" ref="B23:I43" totalsRowShown="0">
  <autoFilter ref="B23:I43" xr:uid="{DC683E9D-83A0-45DB-89F1-1D64C4023C84}"/>
  <tableColumns count="8">
    <tableColumn id="9" xr3:uid="{2C77B86C-0616-4A90-88B4-D91F3AEBA6AA}" name="産業中分類上位２０"/>
    <tableColumn id="10" xr3:uid="{D70752E9-9865-4ED7-9624-40B1DA0A89A9}" name="総数／事業所数" dataCellStyle="桁区切り"/>
    <tableColumn id="11" xr3:uid="{A4187D9B-885A-48D9-900B-FEE667ADCEE5}" name="総数／構成比" dataDxfId="285"/>
    <tableColumn id="12" xr3:uid="{A24D8042-2E22-4917-9E9D-D131DA7B2155}" name="個人／事業所数" dataCellStyle="桁区切り"/>
    <tableColumn id="13" xr3:uid="{5DFA518E-63E8-4BBA-A7ED-6D25F41F03FE}" name="個人／構成比" dataDxfId="284"/>
    <tableColumn id="14" xr3:uid="{0C162758-EF33-44FE-B1ED-D4666B0CAB52}" name="法人／事業所数" dataCellStyle="桁区切り"/>
    <tableColumn id="15" xr3:uid="{09FE5EBC-701A-453C-B543-DD73BA08691D}" name="法人／構成比" dataDxfId="283"/>
    <tableColumn id="16" xr3:uid="{08207137-D69D-4994-A00A-ABD982A2D997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DD5A909E-20A9-4AE6-9C0A-F260FF27E4BC}" name="S_TABLE_13221" displayName="S_TABLE_13221" ref="B46:I66" totalsRowShown="0">
  <autoFilter ref="B46:I66" xr:uid="{DD5A909E-20A9-4AE6-9C0A-F260FF27E4BC}"/>
  <tableColumns count="8">
    <tableColumn id="9" xr3:uid="{CA087319-2861-4130-BFDF-A337D8EEB7D0}" name="産業小分類上位２０"/>
    <tableColumn id="10" xr3:uid="{FE61CBCE-F920-4EC6-8753-D40C3A59EF5F}" name="総数／事業所数" dataCellStyle="桁区切り"/>
    <tableColumn id="11" xr3:uid="{5D41D985-1EC8-44ED-B71A-728208B993DC}" name="総数／構成比" dataDxfId="282"/>
    <tableColumn id="12" xr3:uid="{EF770C2D-1D24-469F-BEF5-4404438EFDF1}" name="個人／事業所数" dataCellStyle="桁区切り"/>
    <tableColumn id="13" xr3:uid="{A94BA30E-5526-42D1-9E8D-647799CB4575}" name="個人／構成比" dataDxfId="281"/>
    <tableColumn id="14" xr3:uid="{F37588AE-6469-4367-8743-053E96F01BD6}" name="法人／事業所数" dataCellStyle="桁区切り"/>
    <tableColumn id="15" xr3:uid="{87B7C5BC-4A27-4329-A97F-02C5CE7DF819}" name="法人／構成比" dataDxfId="280"/>
    <tableColumn id="16" xr3:uid="{0EA507E4-832D-4795-87C7-696579DB2F75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18192219-A75D-4174-9E98-5EB7F319C04B}" name="LTBL_13222" displayName="LTBL_13222" ref="B4:I20" totalsRowCount="1">
  <autoFilter ref="B4:I19" xr:uid="{18192219-A75D-4174-9E98-5EB7F319C04B}"/>
  <tableColumns count="8">
    <tableColumn id="9" xr3:uid="{B50ADCC1-2B7B-4625-8A60-C46E1E7EC0E8}" name="産業大分類" totalsRowLabel="合計" totalsRowDxfId="279"/>
    <tableColumn id="10" xr3:uid="{E5D1F52A-1E41-4EA5-B03F-7916D092F52F}" name="総数／事業所数" totalsRowFunction="custom" totalsRowDxfId="278" dataCellStyle="桁区切り" totalsRowCellStyle="桁区切り">
      <totalsRowFormula>SUM(LTBL_13222[総数／事業所数])</totalsRowFormula>
    </tableColumn>
    <tableColumn id="11" xr3:uid="{98F84EEE-3A87-4E36-947B-BBCAAC239C7A}" name="総数／構成比" dataDxfId="277"/>
    <tableColumn id="12" xr3:uid="{C597CED7-3167-4130-996E-506C3F4AF01F}" name="個人／事業所数" totalsRowFunction="sum" totalsRowDxfId="276" dataCellStyle="桁区切り" totalsRowCellStyle="桁区切り"/>
    <tableColumn id="13" xr3:uid="{93B1A70D-D279-46F7-839E-D76BA73AFD9A}" name="個人／構成比" dataDxfId="275"/>
    <tableColumn id="14" xr3:uid="{209CEF3A-F992-4102-A997-F259D7D4D3A8}" name="法人／事業所数" totalsRowFunction="sum" totalsRowDxfId="274" dataCellStyle="桁区切り" totalsRowCellStyle="桁区切り"/>
    <tableColumn id="15" xr3:uid="{03EB2E62-7EC4-423E-8EBC-E83FB1646F6F}" name="法人／構成比" dataDxfId="273"/>
    <tableColumn id="16" xr3:uid="{3528B645-9E62-42D1-BF98-D4CA7A97A1FF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F3158AAB-4AC4-4A1D-B40F-B91C8F691316}" name="M_TABLE_13222" displayName="M_TABLE_13222" ref="B23:I43" totalsRowShown="0">
  <autoFilter ref="B23:I43" xr:uid="{F3158AAB-4AC4-4A1D-B40F-B91C8F691316}"/>
  <tableColumns count="8">
    <tableColumn id="9" xr3:uid="{5E22D14C-B32E-4DAD-BB94-56CB72507F74}" name="産業中分類上位２０"/>
    <tableColumn id="10" xr3:uid="{E3BB63FE-F0AE-43B7-A9BF-7D7D7465F30D}" name="総数／事業所数" dataCellStyle="桁区切り"/>
    <tableColumn id="11" xr3:uid="{5174B5C8-382A-493E-84A5-219D80DFB553}" name="総数／構成比" dataDxfId="271"/>
    <tableColumn id="12" xr3:uid="{DED61F32-E0A7-41E2-BFDF-D2ECE2CCB4D0}" name="個人／事業所数" dataCellStyle="桁区切り"/>
    <tableColumn id="13" xr3:uid="{925ED05A-8AD9-449C-9ED0-6F9AAD46CB06}" name="個人／構成比" dataDxfId="270"/>
    <tableColumn id="14" xr3:uid="{3267BCB0-ED63-44DE-9A10-817A415CD4A1}" name="法人／事業所数" dataCellStyle="桁区切り"/>
    <tableColumn id="15" xr3:uid="{04AA732D-5BC3-4810-B0CD-4D10EDF6D4E5}" name="法人／構成比" dataDxfId="269"/>
    <tableColumn id="16" xr3:uid="{09C32E30-583F-4502-B7F2-BEFB84C985FD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DB011DFB-35B4-4691-A4A5-FA461C3E89A6}" name="S_TABLE_13222" displayName="S_TABLE_13222" ref="B46:I67" totalsRowShown="0">
  <autoFilter ref="B46:I67" xr:uid="{DB011DFB-35B4-4691-A4A5-FA461C3E89A6}"/>
  <tableColumns count="8">
    <tableColumn id="9" xr3:uid="{F13AAD83-CEC7-4453-89AC-966595065748}" name="産業小分類上位２０"/>
    <tableColumn id="10" xr3:uid="{B71FED2B-4674-4602-9E15-BC161BFBB17E}" name="総数／事業所数" dataCellStyle="桁区切り"/>
    <tableColumn id="11" xr3:uid="{16E4E03A-7E95-45BA-829C-102B9D3D3537}" name="総数／構成比" dataDxfId="268"/>
    <tableColumn id="12" xr3:uid="{4CF34F9E-6369-4735-ACE7-B62F4BA9B963}" name="個人／事業所数" dataCellStyle="桁区切り"/>
    <tableColumn id="13" xr3:uid="{8B74E72F-88C2-471B-AE72-ACD751B019B6}" name="個人／構成比" dataDxfId="267"/>
    <tableColumn id="14" xr3:uid="{2426FF0D-B049-4279-B65A-DC3B8A1A6043}" name="法人／事業所数" dataCellStyle="桁区切り"/>
    <tableColumn id="15" xr3:uid="{6DA5B441-5659-4446-B9B5-B9DBB0D405AA}" name="法人／構成比" dataDxfId="266"/>
    <tableColumn id="16" xr3:uid="{DBEAA55B-4273-4CDE-B335-BE82ED85395C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268F968-583C-417A-AD1E-8C63FC2A0FE2}" name="LTBL_13223" displayName="LTBL_13223" ref="B4:I20" totalsRowCount="1">
  <autoFilter ref="B4:I19" xr:uid="{0268F968-583C-417A-AD1E-8C63FC2A0FE2}"/>
  <tableColumns count="8">
    <tableColumn id="9" xr3:uid="{DA569609-F926-48EE-B5DF-638C0E15349F}" name="産業大分類" totalsRowLabel="合計" totalsRowDxfId="265"/>
    <tableColumn id="10" xr3:uid="{09456479-5A70-4495-96EC-87007AB682E2}" name="総数／事業所数" totalsRowFunction="custom" totalsRowDxfId="264" dataCellStyle="桁区切り" totalsRowCellStyle="桁区切り">
      <totalsRowFormula>SUM(LTBL_13223[総数／事業所数])</totalsRowFormula>
    </tableColumn>
    <tableColumn id="11" xr3:uid="{6DDB465F-8FA0-4E0F-9877-CB3013CEFD4E}" name="総数／構成比" dataDxfId="263"/>
    <tableColumn id="12" xr3:uid="{566E560A-29F0-4587-8F01-9ED4F438646D}" name="個人／事業所数" totalsRowFunction="sum" totalsRowDxfId="262" dataCellStyle="桁区切り" totalsRowCellStyle="桁区切り"/>
    <tableColumn id="13" xr3:uid="{EF5D892D-2401-43B3-9D8C-2BABA694CD82}" name="個人／構成比" dataDxfId="261"/>
    <tableColumn id="14" xr3:uid="{F787A2D8-1A24-485B-A411-72755EFF4708}" name="法人／事業所数" totalsRowFunction="sum" totalsRowDxfId="260" dataCellStyle="桁区切り" totalsRowCellStyle="桁区切り"/>
    <tableColumn id="15" xr3:uid="{E46E1A8F-4E97-4E49-AFE2-87432478730E}" name="法人／構成比" dataDxfId="259"/>
    <tableColumn id="16" xr3:uid="{E3A72FE4-E633-444C-BC12-0AB7600F3971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93DFEB1-EAF8-4339-82EA-BF192898C6A3}" name="M_TABLE_13103" displayName="M_TABLE_13103" ref="B23:I43" totalsRowShown="0">
  <autoFilter ref="B23:I43" xr:uid="{993DFEB1-EAF8-4339-82EA-BF192898C6A3}"/>
  <tableColumns count="8">
    <tableColumn id="9" xr3:uid="{1DFF828B-5C1B-4BC4-B2D5-9AA44D66C9D5}" name="産業中分類上位２０"/>
    <tableColumn id="10" xr3:uid="{D0A2F5A1-05B0-4E75-B294-B29A307A960B}" name="総数／事業所数" dataCellStyle="桁区切り"/>
    <tableColumn id="11" xr3:uid="{D56ADBC3-3A83-4EF4-8DDD-F520FC006E95}" name="総数／構成比" dataDxfId="845"/>
    <tableColumn id="12" xr3:uid="{054347F0-9EBD-46B3-A54B-82C1D5C33273}" name="個人／事業所数" dataCellStyle="桁区切り"/>
    <tableColumn id="13" xr3:uid="{F00A2E7B-59D8-4244-ACF4-F1E437D65EE9}" name="個人／構成比" dataDxfId="844"/>
    <tableColumn id="14" xr3:uid="{D4616780-570C-4C2C-9FDE-5C7CE4A4142E}" name="法人／事業所数" dataCellStyle="桁区切り"/>
    <tableColumn id="15" xr3:uid="{A79311F9-AE3B-4E3C-93F6-7092793CC40B}" name="法人／構成比" dataDxfId="843"/>
    <tableColumn id="16" xr3:uid="{6B4C4FE4-8A40-4DA0-AF69-3B3FB9E7BF2B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29DA386-BAA1-45C9-92E9-6C9FDA62965F}" name="M_TABLE_13223" displayName="M_TABLE_13223" ref="B23:I45" totalsRowShown="0">
  <autoFilter ref="B23:I45" xr:uid="{429DA386-BAA1-45C9-92E9-6C9FDA62965F}"/>
  <tableColumns count="8">
    <tableColumn id="9" xr3:uid="{E390748A-41B0-4479-8EC8-6CF15887B62F}" name="産業中分類上位２０"/>
    <tableColumn id="10" xr3:uid="{99252173-3DB8-4084-83CD-9ACC7322615E}" name="総数／事業所数" dataCellStyle="桁区切り"/>
    <tableColumn id="11" xr3:uid="{D6BAAF91-2B8F-42FC-A252-242E32AE8FAE}" name="総数／構成比" dataDxfId="257"/>
    <tableColumn id="12" xr3:uid="{0917D780-87A3-4A5A-91F0-E36CB77A4484}" name="個人／事業所数" dataCellStyle="桁区切り"/>
    <tableColumn id="13" xr3:uid="{71C93E1E-6FE8-4541-B043-CC2DA948C63C}" name="個人／構成比" dataDxfId="256"/>
    <tableColumn id="14" xr3:uid="{4941051F-F7DE-4EEF-BBC4-D4064A1E494F}" name="法人／事業所数" dataCellStyle="桁区切り"/>
    <tableColumn id="15" xr3:uid="{87BE387A-E77B-4D86-9D08-F94BB4A9188E}" name="法人／構成比" dataDxfId="255"/>
    <tableColumn id="16" xr3:uid="{A311BF24-115F-496A-98BB-1AD0373D7E40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5D836AA-8BE3-4B7C-BBF8-3E760AA22B77}" name="S_TABLE_13223" displayName="S_TABLE_13223" ref="B48:I68" totalsRowShown="0">
  <autoFilter ref="B48:I68" xr:uid="{05D836AA-8BE3-4B7C-BBF8-3E760AA22B77}"/>
  <tableColumns count="8">
    <tableColumn id="9" xr3:uid="{ADEC5192-BB90-44C6-9A67-9AD46E77D5A4}" name="産業小分類上位２０"/>
    <tableColumn id="10" xr3:uid="{AF2404CC-E0E2-489F-B433-61627B84319C}" name="総数／事業所数" dataCellStyle="桁区切り"/>
    <tableColumn id="11" xr3:uid="{3181B997-6353-4D8B-AFA2-36B27DFEF435}" name="総数／構成比" dataDxfId="254"/>
    <tableColumn id="12" xr3:uid="{2669B39F-B615-4FBC-9FF9-95F06BACDC2F}" name="個人／事業所数" dataCellStyle="桁区切り"/>
    <tableColumn id="13" xr3:uid="{F566B444-2604-41E3-A430-815FDA8450AF}" name="個人／構成比" dataDxfId="253"/>
    <tableColumn id="14" xr3:uid="{C9C1533A-A5E9-4FD8-B022-3051431C20BE}" name="法人／事業所数" dataCellStyle="桁区切り"/>
    <tableColumn id="15" xr3:uid="{FE2DCB1D-8E5C-4E29-A83F-A28E39E60ABA}" name="法人／構成比" dataDxfId="252"/>
    <tableColumn id="16" xr3:uid="{1E498DCD-D46E-4941-98FD-753ABD268B4B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E2E84A9A-50E5-483B-8D2C-7A7A2C160F42}" name="LTBL_13224" displayName="LTBL_13224" ref="B4:I20" totalsRowCount="1">
  <autoFilter ref="B4:I19" xr:uid="{E2E84A9A-50E5-483B-8D2C-7A7A2C160F42}"/>
  <tableColumns count="8">
    <tableColumn id="9" xr3:uid="{D8E08CB6-358D-430B-8760-E9410FE86628}" name="産業大分類" totalsRowLabel="合計" totalsRowDxfId="251"/>
    <tableColumn id="10" xr3:uid="{FA7AD74E-553A-4DF3-8000-5BAAEBF5D8AA}" name="総数／事業所数" totalsRowFunction="custom" totalsRowDxfId="250" dataCellStyle="桁区切り" totalsRowCellStyle="桁区切り">
      <totalsRowFormula>SUM(LTBL_13224[総数／事業所数])</totalsRowFormula>
    </tableColumn>
    <tableColumn id="11" xr3:uid="{E7695224-72F6-4621-8B70-884AB5E2DBDE}" name="総数／構成比" dataDxfId="249"/>
    <tableColumn id="12" xr3:uid="{7FE12893-C7C3-45D4-8E79-4DD2D046B541}" name="個人／事業所数" totalsRowFunction="sum" totalsRowDxfId="248" dataCellStyle="桁区切り" totalsRowCellStyle="桁区切り"/>
    <tableColumn id="13" xr3:uid="{08156BE4-F163-40C8-B59A-15BC71078B74}" name="個人／構成比" dataDxfId="247"/>
    <tableColumn id="14" xr3:uid="{5407815F-0159-4349-B3ED-8AB2D543B96D}" name="法人／事業所数" totalsRowFunction="sum" totalsRowDxfId="246" dataCellStyle="桁区切り" totalsRowCellStyle="桁区切り"/>
    <tableColumn id="15" xr3:uid="{77FF19BE-E6C1-489D-BAE0-8FA92C2B3F4C}" name="法人／構成比" dataDxfId="245"/>
    <tableColumn id="16" xr3:uid="{44C65315-601F-43A9-811E-3EDC8B6F3393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D12DA235-B616-47D3-A48E-48EB8D2ED699}" name="M_TABLE_13224" displayName="M_TABLE_13224" ref="B23:I43" totalsRowShown="0">
  <autoFilter ref="B23:I43" xr:uid="{D12DA235-B616-47D3-A48E-48EB8D2ED699}"/>
  <tableColumns count="8">
    <tableColumn id="9" xr3:uid="{75AF6F82-7DD3-4ECF-81D1-EDA8EBAE6DCC}" name="産業中分類上位２０"/>
    <tableColumn id="10" xr3:uid="{71E92D34-032A-4327-98D4-E0886CB0F1E1}" name="総数／事業所数" dataCellStyle="桁区切り"/>
    <tableColumn id="11" xr3:uid="{4BB7831B-6E3D-4B65-8DD2-9C8272135813}" name="総数／構成比" dataDxfId="243"/>
    <tableColumn id="12" xr3:uid="{EFBCD67F-E641-408C-A0DF-17DCF6C5BEEB}" name="個人／事業所数" dataCellStyle="桁区切り"/>
    <tableColumn id="13" xr3:uid="{CDCA55C2-B388-46E6-B5C1-F1989CCEF9AA}" name="個人／構成比" dataDxfId="242"/>
    <tableColumn id="14" xr3:uid="{C9EE858D-FE98-46AE-8D86-C463DC772125}" name="法人／事業所数" dataCellStyle="桁区切り"/>
    <tableColumn id="15" xr3:uid="{4AD5CE1D-69AE-4E00-9039-3F3B544999E2}" name="法人／構成比" dataDxfId="241"/>
    <tableColumn id="16" xr3:uid="{AEB5762A-5551-4D75-94B8-E0B11B5BFEB7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52BB7673-0A45-4CDB-AB96-80454D1F5270}" name="S_TABLE_13224" displayName="S_TABLE_13224" ref="B46:I66" totalsRowShown="0">
  <autoFilter ref="B46:I66" xr:uid="{52BB7673-0A45-4CDB-AB96-80454D1F5270}"/>
  <tableColumns count="8">
    <tableColumn id="9" xr3:uid="{D015DD3C-35F9-4FBA-94F2-AF4CE08DDBF9}" name="産業小分類上位２０"/>
    <tableColumn id="10" xr3:uid="{144E88B9-6EB5-4D1C-83DB-D9B3444D0750}" name="総数／事業所数" dataCellStyle="桁区切り"/>
    <tableColumn id="11" xr3:uid="{0B05E4C5-D85C-4D9E-A178-D6DB67472214}" name="総数／構成比" dataDxfId="240"/>
    <tableColumn id="12" xr3:uid="{0ABA2146-571C-45D3-B06D-95CE50B54A13}" name="個人／事業所数" dataCellStyle="桁区切り"/>
    <tableColumn id="13" xr3:uid="{5AAB23E1-1244-413B-B5A0-2325E6324531}" name="個人／構成比" dataDxfId="239"/>
    <tableColumn id="14" xr3:uid="{B708C6D0-4180-4BC8-89F3-0E7EEAFFB1DC}" name="法人／事業所数" dataCellStyle="桁区切り"/>
    <tableColumn id="15" xr3:uid="{1D9488AC-5A34-43D5-A0DA-A1B35DBAF544}" name="法人／構成比" dataDxfId="238"/>
    <tableColumn id="16" xr3:uid="{BF5B44E6-C8CB-41FB-BA59-DBE2F205EA91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322DC7D1-DC1C-491D-9D21-63BC31FDDC45}" name="LTBL_13225" displayName="LTBL_13225" ref="B4:I20" totalsRowCount="1">
  <autoFilter ref="B4:I19" xr:uid="{322DC7D1-DC1C-491D-9D21-63BC31FDDC45}"/>
  <tableColumns count="8">
    <tableColumn id="9" xr3:uid="{ED948FFA-E133-4A81-A252-DA395079A33D}" name="産業大分類" totalsRowLabel="合計" totalsRowDxfId="237"/>
    <tableColumn id="10" xr3:uid="{5F2EFDE1-8532-43DE-A233-923E1EA34AEC}" name="総数／事業所数" totalsRowFunction="custom" totalsRowDxfId="236" dataCellStyle="桁区切り" totalsRowCellStyle="桁区切り">
      <totalsRowFormula>SUM(LTBL_13225[総数／事業所数])</totalsRowFormula>
    </tableColumn>
    <tableColumn id="11" xr3:uid="{192FB9E3-7101-496A-9D19-35C63453C4F9}" name="総数／構成比" dataDxfId="235"/>
    <tableColumn id="12" xr3:uid="{C1B7542C-F25C-462D-A31B-983A037A54F3}" name="個人／事業所数" totalsRowFunction="sum" totalsRowDxfId="234" dataCellStyle="桁区切り" totalsRowCellStyle="桁区切り"/>
    <tableColumn id="13" xr3:uid="{ED92713D-CE18-4189-BB7B-3CEDD449D6C4}" name="個人／構成比" dataDxfId="233"/>
    <tableColumn id="14" xr3:uid="{F12E6F8A-30F7-439B-8F09-85E77F056009}" name="法人／事業所数" totalsRowFunction="sum" totalsRowDxfId="232" dataCellStyle="桁区切り" totalsRowCellStyle="桁区切り"/>
    <tableColumn id="15" xr3:uid="{42305D85-D7BE-490A-AE4B-E66234EAEA23}" name="法人／構成比" dataDxfId="231"/>
    <tableColumn id="16" xr3:uid="{B121A917-F485-4122-90C7-96D249357332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EF675B5F-9C15-457A-A355-9201965267AD}" name="M_TABLE_13225" displayName="M_TABLE_13225" ref="B23:I43" totalsRowShown="0">
  <autoFilter ref="B23:I43" xr:uid="{EF675B5F-9C15-457A-A355-9201965267AD}"/>
  <tableColumns count="8">
    <tableColumn id="9" xr3:uid="{63EC4B51-5EA5-4A40-B125-B2D2C86A7932}" name="産業中分類上位２０"/>
    <tableColumn id="10" xr3:uid="{7B82A7F4-F6CF-4A9E-8E49-4B7BCB66C53A}" name="総数／事業所数" dataCellStyle="桁区切り"/>
    <tableColumn id="11" xr3:uid="{845EB6D7-04B1-4708-B735-A0826A8F4F38}" name="総数／構成比" dataDxfId="229"/>
    <tableColumn id="12" xr3:uid="{4B58C541-16B5-48CD-8EAB-7750025A5AAE}" name="個人／事業所数" dataCellStyle="桁区切り"/>
    <tableColumn id="13" xr3:uid="{40FF0DDF-09D3-4385-8E14-8E9EA2994C63}" name="個人／構成比" dataDxfId="228"/>
    <tableColumn id="14" xr3:uid="{A81692A3-44C0-4F7E-BD56-962821B08548}" name="法人／事業所数" dataCellStyle="桁区切り"/>
    <tableColumn id="15" xr3:uid="{9D6F2548-B40B-464C-823C-28621F258D2A}" name="法人／構成比" dataDxfId="227"/>
    <tableColumn id="16" xr3:uid="{F98EAC37-E097-467A-B0CC-3EAF2CC77063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EFBD3164-7F5B-4366-B75E-CBEEEFD9567F}" name="S_TABLE_13225" displayName="S_TABLE_13225" ref="B46:I68" totalsRowShown="0">
  <autoFilter ref="B46:I68" xr:uid="{EFBD3164-7F5B-4366-B75E-CBEEEFD9567F}"/>
  <tableColumns count="8">
    <tableColumn id="9" xr3:uid="{84E25E07-560D-4A73-A5E3-6CCC7152BB82}" name="産業小分類上位２０"/>
    <tableColumn id="10" xr3:uid="{670C3F77-93FE-4655-B4FE-92F9CD1DD619}" name="総数／事業所数" dataCellStyle="桁区切り"/>
    <tableColumn id="11" xr3:uid="{E9C6C821-C91B-471D-8F6A-76DBC92D61DE}" name="総数／構成比" dataDxfId="226"/>
    <tableColumn id="12" xr3:uid="{39A39F0E-5056-40D2-B2A0-67AAAA198870}" name="個人／事業所数" dataCellStyle="桁区切り"/>
    <tableColumn id="13" xr3:uid="{0F06C358-9898-4C8B-B7F8-1BDF62ACA648}" name="個人／構成比" dataDxfId="225"/>
    <tableColumn id="14" xr3:uid="{4B420524-D328-44AF-BDD6-53AA22377F23}" name="法人／事業所数" dataCellStyle="桁区切り"/>
    <tableColumn id="15" xr3:uid="{1584CBF2-1BE2-47AC-A7F1-FDC92C57B32B}" name="法人／構成比" dataDxfId="224"/>
    <tableColumn id="16" xr3:uid="{C344CF32-F71F-4B4E-8C17-A8AA468D45CB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AB0AFD2B-2E44-44F5-91FD-5538B02FAC37}" name="LTBL_13227" displayName="LTBL_13227" ref="B4:I20" totalsRowCount="1">
  <autoFilter ref="B4:I19" xr:uid="{AB0AFD2B-2E44-44F5-91FD-5538B02FAC37}"/>
  <tableColumns count="8">
    <tableColumn id="9" xr3:uid="{12AB6CF3-EFDE-4E0B-B6E6-C8BDF70355E5}" name="産業大分類" totalsRowLabel="合計" totalsRowDxfId="223"/>
    <tableColumn id="10" xr3:uid="{14758E81-AFAC-472E-A19F-9D317B003479}" name="総数／事業所数" totalsRowFunction="custom" totalsRowDxfId="222" dataCellStyle="桁区切り" totalsRowCellStyle="桁区切り">
      <totalsRowFormula>SUM(LTBL_13227[総数／事業所数])</totalsRowFormula>
    </tableColumn>
    <tableColumn id="11" xr3:uid="{2094FAA2-7CE9-4E22-B6F1-6415DDE08F13}" name="総数／構成比" dataDxfId="221"/>
    <tableColumn id="12" xr3:uid="{FC481952-1B45-4B4E-9927-B4A9A6783232}" name="個人／事業所数" totalsRowFunction="sum" totalsRowDxfId="220" dataCellStyle="桁区切り" totalsRowCellStyle="桁区切り"/>
    <tableColumn id="13" xr3:uid="{E3887A13-A19B-47ED-8608-90CCF6298560}" name="個人／構成比" dataDxfId="219"/>
    <tableColumn id="14" xr3:uid="{B9BBCD0C-F08A-4658-9F7C-836ABB99B755}" name="法人／事業所数" totalsRowFunction="sum" totalsRowDxfId="218" dataCellStyle="桁区切り" totalsRowCellStyle="桁区切り"/>
    <tableColumn id="15" xr3:uid="{729AAE67-9683-432B-B3B6-EFCA40F8D56B}" name="法人／構成比" dataDxfId="217"/>
    <tableColumn id="16" xr3:uid="{14AD11F8-CDA8-4A1A-8D44-32E948E1AF74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26D61CD2-A8C7-418D-92B3-D043C954BCD9}" name="M_TABLE_13227" displayName="M_TABLE_13227" ref="B23:I47" totalsRowShown="0">
  <autoFilter ref="B23:I47" xr:uid="{26D61CD2-A8C7-418D-92B3-D043C954BCD9}"/>
  <tableColumns count="8">
    <tableColumn id="9" xr3:uid="{EEC32E4E-669A-44C8-9FB5-35EF845BBBB2}" name="産業中分類上位２０"/>
    <tableColumn id="10" xr3:uid="{D490B025-BF30-4DDA-8035-BBE8F51291F3}" name="総数／事業所数" dataCellStyle="桁区切り"/>
    <tableColumn id="11" xr3:uid="{D1199E67-6C4B-4CBB-87E7-0752A7281B4D}" name="総数／構成比" dataDxfId="215"/>
    <tableColumn id="12" xr3:uid="{77A89342-9307-4A3A-942E-FF2A1F7642A5}" name="個人／事業所数" dataCellStyle="桁区切り"/>
    <tableColumn id="13" xr3:uid="{045D9274-62AA-40B4-85E6-12F410352F27}" name="個人／構成比" dataDxfId="214"/>
    <tableColumn id="14" xr3:uid="{25934338-E156-4175-BFDE-3872978A01E0}" name="法人／事業所数" dataCellStyle="桁区切り"/>
    <tableColumn id="15" xr3:uid="{78B2E34F-3489-41DC-AA9B-6FBBBF6ABDCC}" name="法人／構成比" dataDxfId="213"/>
    <tableColumn id="16" xr3:uid="{E7C59F98-BABD-48F3-99D7-B52A338CEDBB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BEAC812-D44D-4AA0-8B36-12457D188195}" name="S_TABLE_13103" displayName="S_TABLE_13103" ref="B46:I66" totalsRowShown="0">
  <autoFilter ref="B46:I66" xr:uid="{3BEAC812-D44D-4AA0-8B36-12457D188195}"/>
  <tableColumns count="8">
    <tableColumn id="9" xr3:uid="{6F389AA1-F853-4C31-98F3-9AC84535B8DE}" name="産業小分類上位２０"/>
    <tableColumn id="10" xr3:uid="{4BCB4967-4C9B-4A48-9DD3-0BAE8187A7B6}" name="総数／事業所数" dataCellStyle="桁区切り"/>
    <tableColumn id="11" xr3:uid="{07BEDB8C-F9B5-41C3-95F0-90D7B1F06E0B}" name="総数／構成比" dataDxfId="842"/>
    <tableColumn id="12" xr3:uid="{793106FE-7A39-41CA-A2A2-75D953C4F1DA}" name="個人／事業所数" dataCellStyle="桁区切り"/>
    <tableColumn id="13" xr3:uid="{C9D40619-6972-43F2-9816-1FE4E1A18AD4}" name="個人／構成比" dataDxfId="841"/>
    <tableColumn id="14" xr3:uid="{AAB12FA6-D43B-47FC-98C3-7B470AA776DC}" name="法人／事業所数" dataCellStyle="桁区切り"/>
    <tableColumn id="15" xr3:uid="{EDC1400E-CC82-47F3-95B2-82768586BA1D}" name="法人／構成比" dataDxfId="840"/>
    <tableColumn id="16" xr3:uid="{50E35BDA-DACC-4F97-9702-FB5217C83F42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BCB7DAAA-C637-4B79-ABB8-012706BD3CE4}" name="S_TABLE_13227" displayName="S_TABLE_13227" ref="B50:I70" totalsRowShown="0">
  <autoFilter ref="B50:I70" xr:uid="{BCB7DAAA-C637-4B79-ABB8-012706BD3CE4}"/>
  <tableColumns count="8">
    <tableColumn id="9" xr3:uid="{4D4B467D-6871-46C5-A057-D26571DF287D}" name="産業小分類上位２０"/>
    <tableColumn id="10" xr3:uid="{D32879E6-2035-4FAF-B1A5-7E1E58FCE62D}" name="総数／事業所数" dataCellStyle="桁区切り"/>
    <tableColumn id="11" xr3:uid="{BB697250-08CC-4D26-83B3-004F9946B5F9}" name="総数／構成比" dataDxfId="212"/>
    <tableColumn id="12" xr3:uid="{44BF86CC-92A5-46F1-B58D-35EA9E06807C}" name="個人／事業所数" dataCellStyle="桁区切り"/>
    <tableColumn id="13" xr3:uid="{4D85F6EA-9ED1-4B78-ACB6-365FD039582F}" name="個人／構成比" dataDxfId="211"/>
    <tableColumn id="14" xr3:uid="{DAEB6153-E639-436F-BC61-15F89D106BEC}" name="法人／事業所数" dataCellStyle="桁区切り"/>
    <tableColumn id="15" xr3:uid="{BE9008F7-CFA8-485C-AB31-FC9039E0F918}" name="法人／構成比" dataDxfId="210"/>
    <tableColumn id="16" xr3:uid="{6F9EB341-6916-49C1-95CB-4B86D20838FA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2C4C303-C350-42E3-8339-DDE21ECFF300}" name="LTBL_13228" displayName="LTBL_13228" ref="B4:I20" totalsRowCount="1">
  <autoFilter ref="B4:I19" xr:uid="{02C4C303-C350-42E3-8339-DDE21ECFF300}"/>
  <tableColumns count="8">
    <tableColumn id="9" xr3:uid="{FB7B2CEC-B12E-45B2-A382-85B91BD8E6C5}" name="産業大分類" totalsRowLabel="合計" totalsRowDxfId="209"/>
    <tableColumn id="10" xr3:uid="{28E12427-5F8B-425E-9785-6014EFB8FD94}" name="総数／事業所数" totalsRowFunction="custom" totalsRowDxfId="208" dataCellStyle="桁区切り" totalsRowCellStyle="桁区切り">
      <totalsRowFormula>SUM(LTBL_13228[総数／事業所数])</totalsRowFormula>
    </tableColumn>
    <tableColumn id="11" xr3:uid="{0E59A713-3613-4BCA-90B1-7B5DBDDAAB8C}" name="総数／構成比" dataDxfId="207"/>
    <tableColumn id="12" xr3:uid="{F02BC8E2-6F73-4F02-AC29-8F80B7E610CE}" name="個人／事業所数" totalsRowFunction="sum" totalsRowDxfId="206" dataCellStyle="桁区切り" totalsRowCellStyle="桁区切り"/>
    <tableColumn id="13" xr3:uid="{E246C2D9-A05B-4592-8645-FFBEB1BB50E3}" name="個人／構成比" dataDxfId="205"/>
    <tableColumn id="14" xr3:uid="{E0B589D3-BE14-41D2-88CD-8F40AEEF485B}" name="法人／事業所数" totalsRowFunction="sum" totalsRowDxfId="204" dataCellStyle="桁区切り" totalsRowCellStyle="桁区切り"/>
    <tableColumn id="15" xr3:uid="{ED0F4CA4-C1CA-4345-B0DB-FF412AA09ABD}" name="法人／構成比" dataDxfId="203"/>
    <tableColumn id="16" xr3:uid="{4238690C-BF47-4FD6-BA9F-3DA92C69021D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C2FA3C41-2980-40F7-A7A5-BEE51CCC96C5}" name="M_TABLE_13228" displayName="M_TABLE_13228" ref="B23:I43" totalsRowShown="0">
  <autoFilter ref="B23:I43" xr:uid="{C2FA3C41-2980-40F7-A7A5-BEE51CCC96C5}"/>
  <tableColumns count="8">
    <tableColumn id="9" xr3:uid="{031A40FD-7036-4F91-AE5B-F75E746605D5}" name="産業中分類上位２０"/>
    <tableColumn id="10" xr3:uid="{AB2A71A2-B22C-4308-912C-F5AF8013CBC5}" name="総数／事業所数" dataCellStyle="桁区切り"/>
    <tableColumn id="11" xr3:uid="{FB7BA1DE-C325-4DE0-98A9-52F89A7BFA5E}" name="総数／構成比" dataDxfId="201"/>
    <tableColumn id="12" xr3:uid="{27DD016F-CC3F-4DB4-A2C7-7216C61F9A7D}" name="個人／事業所数" dataCellStyle="桁区切り"/>
    <tableColumn id="13" xr3:uid="{753F0930-2FF4-47F9-ACF9-4284CD901970}" name="個人／構成比" dataDxfId="200"/>
    <tableColumn id="14" xr3:uid="{7D0E870F-2961-4178-B8F2-6E95129BC466}" name="法人／事業所数" dataCellStyle="桁区切り"/>
    <tableColumn id="15" xr3:uid="{03C59F7D-099B-40D0-9472-A17DC962C63D}" name="法人／構成比" dataDxfId="199"/>
    <tableColumn id="16" xr3:uid="{168926D0-3CCF-4E75-B4C4-0A9D03B837A3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5DC87A0A-90FE-4CCE-B372-03A316C88302}" name="S_TABLE_13228" displayName="S_TABLE_13228" ref="B46:I67" totalsRowShown="0">
  <autoFilter ref="B46:I67" xr:uid="{5DC87A0A-90FE-4CCE-B372-03A316C88302}"/>
  <tableColumns count="8">
    <tableColumn id="9" xr3:uid="{5A1E2EE5-D451-4257-937B-C892702E835A}" name="産業小分類上位２０"/>
    <tableColumn id="10" xr3:uid="{539E0F55-C8F4-40B6-B72A-C23FB96E52D8}" name="総数／事業所数" dataCellStyle="桁区切り"/>
    <tableColumn id="11" xr3:uid="{4C40ED3B-6718-43C3-A00C-3ADBDE82BC01}" name="総数／構成比" dataDxfId="198"/>
    <tableColumn id="12" xr3:uid="{CD7D1490-603B-4FD9-BD4B-AE5D1909C1F1}" name="個人／事業所数" dataCellStyle="桁区切り"/>
    <tableColumn id="13" xr3:uid="{63B953AC-2FEB-40BA-B1F9-238EBBD80E36}" name="個人／構成比" dataDxfId="197"/>
    <tableColumn id="14" xr3:uid="{EF40D8F2-CA1E-496B-B4D1-67E0BAFEE5D9}" name="法人／事業所数" dataCellStyle="桁区切り"/>
    <tableColumn id="15" xr3:uid="{D6E80949-A6CF-43DA-B317-381138E26820}" name="法人／構成比" dataDxfId="196"/>
    <tableColumn id="16" xr3:uid="{77630EA9-1285-40BC-AB2C-176249297A3A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F37447D7-E9BC-4BA1-8B54-15DE875AE474}" name="LTBL_13229" displayName="LTBL_13229" ref="B4:I20" totalsRowCount="1">
  <autoFilter ref="B4:I19" xr:uid="{F37447D7-E9BC-4BA1-8B54-15DE875AE474}"/>
  <tableColumns count="8">
    <tableColumn id="9" xr3:uid="{5755068D-EB76-4FF3-BE37-B4BEBFC45A3D}" name="産業大分類" totalsRowLabel="合計" totalsRowDxfId="195"/>
    <tableColumn id="10" xr3:uid="{9716AD01-B420-4F61-A990-4D4C584098A4}" name="総数／事業所数" totalsRowFunction="custom" totalsRowDxfId="194" dataCellStyle="桁区切り" totalsRowCellStyle="桁区切り">
      <totalsRowFormula>SUM(LTBL_13229[総数／事業所数])</totalsRowFormula>
    </tableColumn>
    <tableColumn id="11" xr3:uid="{28D028D8-0167-4B2B-8B1B-DFEE51F8DB46}" name="総数／構成比" dataDxfId="193"/>
    <tableColumn id="12" xr3:uid="{EE783F13-7C0C-49FC-B0E4-789CA09CD3EE}" name="個人／事業所数" totalsRowFunction="sum" totalsRowDxfId="192" dataCellStyle="桁区切り" totalsRowCellStyle="桁区切り"/>
    <tableColumn id="13" xr3:uid="{C4714158-6891-45F7-9CB3-24B4B8B8D386}" name="個人／構成比" dataDxfId="191"/>
    <tableColumn id="14" xr3:uid="{963F1968-227D-43CF-B01B-C6D07E6C410C}" name="法人／事業所数" totalsRowFunction="sum" totalsRowDxfId="190" dataCellStyle="桁区切り" totalsRowCellStyle="桁区切り"/>
    <tableColumn id="15" xr3:uid="{6AAB7DEB-5A0A-40C7-85B0-F259111D1C5E}" name="法人／構成比" dataDxfId="189"/>
    <tableColumn id="16" xr3:uid="{90EE831D-49B9-490F-A277-3F4054C3DAB7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C27C5C90-89D2-4E1D-8D35-604EC79C5832}" name="M_TABLE_13229" displayName="M_TABLE_13229" ref="B23:I43" totalsRowShown="0">
  <autoFilter ref="B23:I43" xr:uid="{C27C5C90-89D2-4E1D-8D35-604EC79C5832}"/>
  <tableColumns count="8">
    <tableColumn id="9" xr3:uid="{11851244-C0C2-4DD9-966D-A99C6C9EDA44}" name="産業中分類上位２０"/>
    <tableColumn id="10" xr3:uid="{D3E0FD3B-5A17-4E9C-84F1-87FCB849ADC0}" name="総数／事業所数" dataCellStyle="桁区切り"/>
    <tableColumn id="11" xr3:uid="{261148F6-21CA-4D7C-91F6-883EF21600CE}" name="総数／構成比" dataDxfId="187"/>
    <tableColumn id="12" xr3:uid="{D5563B0F-3017-498C-90E1-6DC40404B3A0}" name="個人／事業所数" dataCellStyle="桁区切り"/>
    <tableColumn id="13" xr3:uid="{311DA804-5594-4C01-B9B9-0C803DCF772B}" name="個人／構成比" dataDxfId="186"/>
    <tableColumn id="14" xr3:uid="{6B04CF0D-1B08-43E6-968C-F0454055B5D8}" name="法人／事業所数" dataCellStyle="桁区切り"/>
    <tableColumn id="15" xr3:uid="{99E04FF3-43B1-40D9-8634-6EA7DDAFE092}" name="法人／構成比" dataDxfId="185"/>
    <tableColumn id="16" xr3:uid="{5E2DB829-78A7-4A17-AF7F-D07FE50D653A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3271A01F-48F8-43C3-81EE-CC5E60E1643E}" name="S_TABLE_13229" displayName="S_TABLE_13229" ref="B46:I67" totalsRowShown="0">
  <autoFilter ref="B46:I67" xr:uid="{3271A01F-48F8-43C3-81EE-CC5E60E1643E}"/>
  <tableColumns count="8">
    <tableColumn id="9" xr3:uid="{41DBE690-4C30-4F93-9A86-F523EE5F741D}" name="産業小分類上位２０"/>
    <tableColumn id="10" xr3:uid="{60EAC815-F3F0-4E9B-B319-572D6AB523EB}" name="総数／事業所数" dataCellStyle="桁区切り"/>
    <tableColumn id="11" xr3:uid="{228E44D6-015A-4A3B-BBEB-18307ED8188E}" name="総数／構成比" dataDxfId="184"/>
    <tableColumn id="12" xr3:uid="{F88CE6A4-4D68-4C27-91E7-138DB9E56490}" name="個人／事業所数" dataCellStyle="桁区切り"/>
    <tableColumn id="13" xr3:uid="{C6921D09-7F72-45C9-A840-C13301886BC9}" name="個人／構成比" dataDxfId="183"/>
    <tableColumn id="14" xr3:uid="{850F68FE-F61D-4313-8809-53EED4B3FD77}" name="法人／事業所数" dataCellStyle="桁区切り"/>
    <tableColumn id="15" xr3:uid="{DA84AEBD-1D6B-42F5-BCC9-E044E2223AD7}" name="法人／構成比" dataDxfId="182"/>
    <tableColumn id="16" xr3:uid="{806CA8FA-341A-4C9C-94F8-BD3AF5455540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D1DCC780-43A5-417C-A9D4-83C33320E443}" name="LTBL_13303" displayName="LTBL_13303" ref="B4:I20" totalsRowCount="1">
  <autoFilter ref="B4:I19" xr:uid="{D1DCC780-43A5-417C-A9D4-83C33320E443}"/>
  <tableColumns count="8">
    <tableColumn id="9" xr3:uid="{41D0D6CE-211D-4568-9BCC-78964CA30291}" name="産業大分類" totalsRowLabel="合計" totalsRowDxfId="181"/>
    <tableColumn id="10" xr3:uid="{7F1232C3-82BB-424D-9A26-F4C8E47B0751}" name="総数／事業所数" totalsRowFunction="custom" totalsRowDxfId="180" dataCellStyle="桁区切り" totalsRowCellStyle="桁区切り">
      <totalsRowFormula>SUM(LTBL_13303[総数／事業所数])</totalsRowFormula>
    </tableColumn>
    <tableColumn id="11" xr3:uid="{68B72953-5484-4CD3-B4DE-F19289471354}" name="総数／構成比" dataDxfId="179"/>
    <tableColumn id="12" xr3:uid="{48F7D33E-E419-48F7-804E-F2EDF1E3EE01}" name="個人／事業所数" totalsRowFunction="sum" totalsRowDxfId="178" dataCellStyle="桁区切り" totalsRowCellStyle="桁区切り"/>
    <tableColumn id="13" xr3:uid="{03C02060-8392-4D2E-8903-C8C3C1AEBBCC}" name="個人／構成比" dataDxfId="177"/>
    <tableColumn id="14" xr3:uid="{276958FB-3E14-4131-B657-28C82F7C8B75}" name="法人／事業所数" totalsRowFunction="sum" totalsRowDxfId="176" dataCellStyle="桁区切り" totalsRowCellStyle="桁区切り"/>
    <tableColumn id="15" xr3:uid="{16820BF0-329B-4D80-9B81-8712F65C5845}" name="法人／構成比" dataDxfId="175"/>
    <tableColumn id="16" xr3:uid="{84CD5BBE-2707-4EE6-8307-28549A38FEA3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F25CF1C4-260E-40F4-9CED-56B312039488}" name="M_TABLE_13303" displayName="M_TABLE_13303" ref="B23:I44" totalsRowShown="0">
  <autoFilter ref="B23:I44" xr:uid="{F25CF1C4-260E-40F4-9CED-56B312039488}"/>
  <tableColumns count="8">
    <tableColumn id="9" xr3:uid="{188AD6F6-89A2-48D7-8B4D-68FD13B585AF}" name="産業中分類上位２０"/>
    <tableColumn id="10" xr3:uid="{50460C7C-E88B-4425-8BFC-D3EF4CDEF388}" name="総数／事業所数" dataCellStyle="桁区切り"/>
    <tableColumn id="11" xr3:uid="{8E75FDBA-0F1D-4372-B80D-ED7FF075C1C9}" name="総数／構成比" dataDxfId="173"/>
    <tableColumn id="12" xr3:uid="{047D9CDE-F988-4429-979F-7141C3237E10}" name="個人／事業所数" dataCellStyle="桁区切り"/>
    <tableColumn id="13" xr3:uid="{695F1844-DBD9-4710-B1F0-5B6B71A1DAEE}" name="個人／構成比" dataDxfId="172"/>
    <tableColumn id="14" xr3:uid="{3B9C9E2A-4D70-4743-9362-E72E5623CAD8}" name="法人／事業所数" dataCellStyle="桁区切り"/>
    <tableColumn id="15" xr3:uid="{4523F2B6-835C-4C67-AFC3-A529FE849E0A}" name="法人／構成比" dataDxfId="171"/>
    <tableColumn id="16" xr3:uid="{4775C42B-AA97-41C5-A1F8-CD6A6261414B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43C31C00-092B-4B6A-AE48-52DFE8FD5885}" name="S_TABLE_13303" displayName="S_TABLE_13303" ref="B47:I67" totalsRowShown="0">
  <autoFilter ref="B47:I67" xr:uid="{43C31C00-092B-4B6A-AE48-52DFE8FD5885}"/>
  <tableColumns count="8">
    <tableColumn id="9" xr3:uid="{29AEF48B-AE33-479F-80BF-3609A7E8678A}" name="産業小分類上位２０"/>
    <tableColumn id="10" xr3:uid="{AD4993FA-0604-4EF1-AE66-9E7EF09C7C8D}" name="総数／事業所数" dataCellStyle="桁区切り"/>
    <tableColumn id="11" xr3:uid="{F3E03B0D-53DD-469E-A6C8-AEA1144D1059}" name="総数／構成比" dataDxfId="170"/>
    <tableColumn id="12" xr3:uid="{EC72FD70-B4E9-44F2-B15E-B8CC8B15466E}" name="個人／事業所数" dataCellStyle="桁区切り"/>
    <tableColumn id="13" xr3:uid="{F92C2905-9E95-49F7-8044-61D1BE00CB49}" name="個人／構成比" dataDxfId="169"/>
    <tableColumn id="14" xr3:uid="{0A84E4E9-FD75-443F-8E75-79F977C836B6}" name="法人／事業所数" dataCellStyle="桁区切り"/>
    <tableColumn id="15" xr3:uid="{FA38193D-25D8-4014-8EB9-5680A3D3BAB4}" name="法人／構成比" dataDxfId="168"/>
    <tableColumn id="16" xr3:uid="{003B18F2-C661-4B84-993A-44B4D1E400F3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FAF44EC-D8CE-45CB-932F-EA2EA97A76DC}" name="LTBL_13104" displayName="LTBL_13104" ref="B4:I20" totalsRowCount="1">
  <autoFilter ref="B4:I19" xr:uid="{AFAF44EC-D8CE-45CB-932F-EA2EA97A76DC}"/>
  <tableColumns count="8">
    <tableColumn id="9" xr3:uid="{BC4527F4-7A5B-4023-A28C-8F90C19A71F9}" name="産業大分類" totalsRowLabel="合計" totalsRowDxfId="839"/>
    <tableColumn id="10" xr3:uid="{854F623C-B3E1-45B9-B7D7-E97754C3DAB3}" name="総数／事業所数" totalsRowFunction="custom" totalsRowDxfId="838" dataCellStyle="桁区切り" totalsRowCellStyle="桁区切り">
      <totalsRowFormula>SUM(LTBL_13104[総数／事業所数])</totalsRowFormula>
    </tableColumn>
    <tableColumn id="11" xr3:uid="{331C734B-3443-4FDA-9AC9-9D2F96A56D4B}" name="総数／構成比" dataDxfId="837"/>
    <tableColumn id="12" xr3:uid="{8F69041D-A63F-4B46-B04A-A6F2F83BDD43}" name="個人／事業所数" totalsRowFunction="sum" totalsRowDxfId="836" dataCellStyle="桁区切り" totalsRowCellStyle="桁区切り"/>
    <tableColumn id="13" xr3:uid="{2FDA54F0-27D1-471C-BF33-302043806114}" name="個人／構成比" dataDxfId="835"/>
    <tableColumn id="14" xr3:uid="{BD1AB1A4-0A23-4660-8B9F-A6CBCE278393}" name="法人／事業所数" totalsRowFunction="sum" totalsRowDxfId="834" dataCellStyle="桁区切り" totalsRowCellStyle="桁区切り"/>
    <tableColumn id="15" xr3:uid="{3366A6EA-B96A-4BB0-A110-6D85F47E65BE}" name="法人／構成比" dataDxfId="833"/>
    <tableColumn id="16" xr3:uid="{CEFEEBE4-650C-46F6-B1D3-DC326D687CFE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B393A266-D2F2-414B-9BB4-C76761322609}" name="LTBL_13305" displayName="LTBL_13305" ref="B4:I20" totalsRowCount="1">
  <autoFilter ref="B4:I19" xr:uid="{B393A266-D2F2-414B-9BB4-C76761322609}"/>
  <tableColumns count="8">
    <tableColumn id="9" xr3:uid="{2B6C31A1-9F43-45EC-AD18-447605575232}" name="産業大分類" totalsRowLabel="合計" totalsRowDxfId="167"/>
    <tableColumn id="10" xr3:uid="{7A8146BC-569D-4349-8414-4464097585B5}" name="総数／事業所数" totalsRowFunction="custom" totalsRowDxfId="166" dataCellStyle="桁区切り" totalsRowCellStyle="桁区切り">
      <totalsRowFormula>SUM(LTBL_13305[総数／事業所数])</totalsRowFormula>
    </tableColumn>
    <tableColumn id="11" xr3:uid="{1AADDCEE-50B2-4DB1-AE22-EAF2445B3AD4}" name="総数／構成比" dataDxfId="165"/>
    <tableColumn id="12" xr3:uid="{BA49B7A0-2E42-44AB-B4DB-EE092CEE35F7}" name="個人／事業所数" totalsRowFunction="sum" totalsRowDxfId="164" dataCellStyle="桁区切り" totalsRowCellStyle="桁区切り"/>
    <tableColumn id="13" xr3:uid="{432551B4-D71E-417B-8771-75C6A2F038A0}" name="個人／構成比" dataDxfId="163"/>
    <tableColumn id="14" xr3:uid="{61F2E7EF-0C35-4326-9174-22E2D481680A}" name="法人／事業所数" totalsRowFunction="sum" totalsRowDxfId="162" dataCellStyle="桁区切り" totalsRowCellStyle="桁区切り"/>
    <tableColumn id="15" xr3:uid="{632E481A-2D9B-4F0F-B038-603CDF5D5584}" name="法人／構成比" dataDxfId="161"/>
    <tableColumn id="16" xr3:uid="{F8147D00-6BB3-41D5-BA3C-3BF2CDB3464E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C7FDD41E-29CD-459B-9E21-F955477FEF39}" name="M_TABLE_13305" displayName="M_TABLE_13305" ref="B23:I43" totalsRowShown="0">
  <autoFilter ref="B23:I43" xr:uid="{C7FDD41E-29CD-459B-9E21-F955477FEF39}"/>
  <tableColumns count="8">
    <tableColumn id="9" xr3:uid="{27938E47-7E2A-4EAB-818E-468AD0842AD7}" name="産業中分類上位２０"/>
    <tableColumn id="10" xr3:uid="{556330D3-3C41-4AE1-9D8E-5D775BA4F926}" name="総数／事業所数" dataCellStyle="桁区切り"/>
    <tableColumn id="11" xr3:uid="{89385854-43AE-44DE-9862-2837189362B5}" name="総数／構成比" dataDxfId="159"/>
    <tableColumn id="12" xr3:uid="{A42679BA-8459-4AA8-958B-B52498392B8E}" name="個人／事業所数" dataCellStyle="桁区切り"/>
    <tableColumn id="13" xr3:uid="{ABE9B97E-6A22-4072-9AC5-B36D207D26C6}" name="個人／構成比" dataDxfId="158"/>
    <tableColumn id="14" xr3:uid="{AAFA069E-D3BC-4654-890F-55514DE8EBBB}" name="法人／事業所数" dataCellStyle="桁区切り"/>
    <tableColumn id="15" xr3:uid="{347BAF0A-0146-447B-ABB6-9CF573334989}" name="法人／構成比" dataDxfId="157"/>
    <tableColumn id="16" xr3:uid="{456E28C5-7A6F-46CE-A034-678064B44B8C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BB1DCE57-4989-440B-BE5D-5142BD9FFE5C}" name="S_TABLE_13305" displayName="S_TABLE_13305" ref="B46:I72" totalsRowShown="0">
  <autoFilter ref="B46:I72" xr:uid="{BB1DCE57-4989-440B-BE5D-5142BD9FFE5C}"/>
  <tableColumns count="8">
    <tableColumn id="9" xr3:uid="{A6094FD8-A483-4C1F-880C-B1CEFFACC6CD}" name="産業小分類上位２０"/>
    <tableColumn id="10" xr3:uid="{7F488FED-FB00-4199-BD36-C300206FE916}" name="総数／事業所数" dataCellStyle="桁区切り"/>
    <tableColumn id="11" xr3:uid="{90FB02FB-3C1B-4C74-9BA5-DAE59C10DCDE}" name="総数／構成比" dataDxfId="156"/>
    <tableColumn id="12" xr3:uid="{11D143F2-3BD9-4B46-A605-D1FB6636941E}" name="個人／事業所数" dataCellStyle="桁区切り"/>
    <tableColumn id="13" xr3:uid="{A1A11EDF-FF46-4C21-BC21-0F34AD45AC28}" name="個人／構成比" dataDxfId="155"/>
    <tableColumn id="14" xr3:uid="{AC83DAD1-BFF3-4BD1-B418-382AB9907E36}" name="法人／事業所数" dataCellStyle="桁区切り"/>
    <tableColumn id="15" xr3:uid="{F8FB5739-3561-4557-87E6-532C294B7A93}" name="法人／構成比" dataDxfId="154"/>
    <tableColumn id="16" xr3:uid="{C0196FED-3310-4950-991C-05F144D753E8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F9D2135C-E2F6-40BB-92E4-2071BDCF9218}" name="LTBL_13307" displayName="LTBL_13307" ref="B4:I20" totalsRowCount="1">
  <autoFilter ref="B4:I19" xr:uid="{F9D2135C-E2F6-40BB-92E4-2071BDCF9218}"/>
  <tableColumns count="8">
    <tableColumn id="9" xr3:uid="{112C0B6E-39E8-494E-9715-338AA0DB1B59}" name="産業大分類" totalsRowLabel="合計" totalsRowDxfId="153"/>
    <tableColumn id="10" xr3:uid="{8B7851D0-D9B5-4006-933F-C339C79DACFA}" name="総数／事業所数" totalsRowFunction="custom" totalsRowDxfId="152" dataCellStyle="桁区切り" totalsRowCellStyle="桁区切り">
      <totalsRowFormula>SUM(LTBL_13307[総数／事業所数])</totalsRowFormula>
    </tableColumn>
    <tableColumn id="11" xr3:uid="{9594A902-9CED-4C6E-9D79-D4FC69539A6B}" name="総数／構成比" dataDxfId="151"/>
    <tableColumn id="12" xr3:uid="{655598E5-1367-4139-889E-9C9EE97B6034}" name="個人／事業所数" totalsRowFunction="sum" totalsRowDxfId="150" dataCellStyle="桁区切り" totalsRowCellStyle="桁区切り"/>
    <tableColumn id="13" xr3:uid="{BA610764-AB46-480C-BB3C-24F8D27B8614}" name="個人／構成比" dataDxfId="149"/>
    <tableColumn id="14" xr3:uid="{23581829-F8D1-4C69-A910-FDAED2274AB4}" name="法人／事業所数" totalsRowFunction="sum" totalsRowDxfId="148" dataCellStyle="桁区切り" totalsRowCellStyle="桁区切り"/>
    <tableColumn id="15" xr3:uid="{A2299BD6-42C2-4CC5-A872-5C6FB3FFAC68}" name="法人／構成比" dataDxfId="147"/>
    <tableColumn id="16" xr3:uid="{C2182FFA-303A-444C-A0AE-A4E9685A8D46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B88B91EE-83AE-49DD-9AC5-68A16EB19567}" name="M_TABLE_13307" displayName="M_TABLE_13307" ref="B23:I57" totalsRowShown="0">
  <autoFilter ref="B23:I57" xr:uid="{B88B91EE-83AE-49DD-9AC5-68A16EB19567}"/>
  <tableColumns count="8">
    <tableColumn id="9" xr3:uid="{CF1CF871-7031-4873-94C6-547400A1903D}" name="産業中分類上位２０"/>
    <tableColumn id="10" xr3:uid="{E0D0FD2C-A788-4FCB-95BE-B0C6B8BCC1FF}" name="総数／事業所数" dataCellStyle="桁区切り"/>
    <tableColumn id="11" xr3:uid="{381C4849-1318-4E0D-BDAF-D60D65F23CF1}" name="総数／構成比" dataDxfId="145"/>
    <tableColumn id="12" xr3:uid="{7DF53884-A2A9-4BF3-9166-A1CF8C0AD9DA}" name="個人／事業所数" dataCellStyle="桁区切り"/>
    <tableColumn id="13" xr3:uid="{6FCF1122-5B43-4AB0-AD59-776F175D5CDF}" name="個人／構成比" dataDxfId="144"/>
    <tableColumn id="14" xr3:uid="{936D8FAA-25C1-4F1F-B661-BF1DB4152730}" name="法人／事業所数" dataCellStyle="桁区切り"/>
    <tableColumn id="15" xr3:uid="{30016FF3-B6A8-4E4E-9FD6-03703971AFD5}" name="法人／構成比" dataDxfId="143"/>
    <tableColumn id="16" xr3:uid="{F1AE3D05-6153-4D15-9215-436AB14BE1F2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3BCB7792-7F00-4FA6-BB48-5C69C46BB488}" name="S_TABLE_13307" displayName="S_TABLE_13307" ref="B60:I83" totalsRowShown="0">
  <autoFilter ref="B60:I83" xr:uid="{3BCB7792-7F00-4FA6-BB48-5C69C46BB488}"/>
  <tableColumns count="8">
    <tableColumn id="9" xr3:uid="{3A429165-625A-4DC3-9611-A5299C81977E}" name="産業小分類上位２０"/>
    <tableColumn id="10" xr3:uid="{38215D19-802F-4DD0-9AF9-40029D09DA3A}" name="総数／事業所数" dataCellStyle="桁区切り"/>
    <tableColumn id="11" xr3:uid="{44511D55-88CB-45BE-9E5F-C9D0043C5DA3}" name="総数／構成比" dataDxfId="142"/>
    <tableColumn id="12" xr3:uid="{8DC8AB49-7C21-4A5E-AFE3-928464DE7676}" name="個人／事業所数" dataCellStyle="桁区切り"/>
    <tableColumn id="13" xr3:uid="{BC1C4FE1-870B-475A-A0FE-4147C59B5C4F}" name="個人／構成比" dataDxfId="141"/>
    <tableColumn id="14" xr3:uid="{76B7F89E-BCEC-4830-A716-26C9A3D958FD}" name="法人／事業所数" dataCellStyle="桁区切り"/>
    <tableColumn id="15" xr3:uid="{6A389246-2A32-4C0B-8184-C8BB6F8CC429}" name="法人／構成比" dataDxfId="140"/>
    <tableColumn id="16" xr3:uid="{43372131-231B-465B-AB84-066261225FBD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E6C618B4-9624-464D-9822-02EDB12027B2}" name="LTBL_13308" displayName="LTBL_13308" ref="B4:I20" totalsRowCount="1">
  <autoFilter ref="B4:I19" xr:uid="{E6C618B4-9624-464D-9822-02EDB12027B2}"/>
  <tableColumns count="8">
    <tableColumn id="9" xr3:uid="{BA961232-4260-4D19-B82D-A553EDBAEEE0}" name="産業大分類" totalsRowLabel="合計" totalsRowDxfId="139"/>
    <tableColumn id="10" xr3:uid="{B78E13A0-1E5D-4361-B706-4F3B16391AC4}" name="総数／事業所数" totalsRowFunction="custom" totalsRowDxfId="138" dataCellStyle="桁区切り" totalsRowCellStyle="桁区切り">
      <totalsRowFormula>SUM(LTBL_13308[総数／事業所数])</totalsRowFormula>
    </tableColumn>
    <tableColumn id="11" xr3:uid="{DE164449-24D2-4FB2-8EBF-02D8EBA70CB7}" name="総数／構成比" dataDxfId="137"/>
    <tableColumn id="12" xr3:uid="{FCF11314-1F9E-47FF-9F91-360387A7B3D5}" name="個人／事業所数" totalsRowFunction="sum" totalsRowDxfId="136" dataCellStyle="桁区切り" totalsRowCellStyle="桁区切り"/>
    <tableColumn id="13" xr3:uid="{9FAA709A-C026-4E18-A3A8-C3B4404D0186}" name="個人／構成比" dataDxfId="135"/>
    <tableColumn id="14" xr3:uid="{241A0057-4990-4677-B976-6619393CB0B1}" name="法人／事業所数" totalsRowFunction="sum" totalsRowDxfId="134" dataCellStyle="桁区切り" totalsRowCellStyle="桁区切り"/>
    <tableColumn id="15" xr3:uid="{F2DC11DB-42B0-4C7D-AB76-B6BE8B41840B}" name="法人／構成比" dataDxfId="133"/>
    <tableColumn id="16" xr3:uid="{39EB5905-A806-4082-B3CE-D26FF3D93541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6EADADE0-6F6C-494B-B575-8A3F4E80C838}" name="M_TABLE_13308" displayName="M_TABLE_13308" ref="B23:I61" totalsRowShown="0">
  <autoFilter ref="B23:I61" xr:uid="{6EADADE0-6F6C-494B-B575-8A3F4E80C838}"/>
  <tableColumns count="8">
    <tableColumn id="9" xr3:uid="{587E1F31-35E5-4F10-92CC-775BB6FFC481}" name="産業中分類上位２０"/>
    <tableColumn id="10" xr3:uid="{13EC710E-87A7-459F-AFE7-9D72896C7016}" name="総数／事業所数" dataCellStyle="桁区切り"/>
    <tableColumn id="11" xr3:uid="{7A252CE9-393C-4DB7-9F99-E6BABCB2D1B4}" name="総数／構成比" dataDxfId="131"/>
    <tableColumn id="12" xr3:uid="{C9B3EB25-E255-4F0E-8F48-278F5C184DF4}" name="個人／事業所数" dataCellStyle="桁区切り"/>
    <tableColumn id="13" xr3:uid="{FD03FDBE-8C47-45F5-8491-B3C9358F3523}" name="個人／構成比" dataDxfId="130"/>
    <tableColumn id="14" xr3:uid="{B1B8FFA9-0477-4C23-A17F-E5E5B2A161B0}" name="法人／事業所数" dataCellStyle="桁区切り"/>
    <tableColumn id="15" xr3:uid="{7C2506A4-3A48-4188-BEC0-5E6A04C2B30A}" name="法人／構成比" dataDxfId="129"/>
    <tableColumn id="16" xr3:uid="{AE972AC0-3C37-4DA3-80BF-899EAD4BD017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5208484E-2A24-4AB2-A821-C80ED1084CF1}" name="S_TABLE_13308" displayName="S_TABLE_13308" ref="B64:I86" totalsRowShown="0">
  <autoFilter ref="B64:I86" xr:uid="{5208484E-2A24-4AB2-A821-C80ED1084CF1}"/>
  <tableColumns count="8">
    <tableColumn id="9" xr3:uid="{F4C415A0-2F16-4882-AC25-F8D9CDF5A6DF}" name="産業小分類上位２０"/>
    <tableColumn id="10" xr3:uid="{B5F697F2-BBDF-4471-B046-DD7CA2BA2F77}" name="総数／事業所数" dataCellStyle="桁区切り"/>
    <tableColumn id="11" xr3:uid="{E095E7D3-8050-4330-99FD-47F6D5A43A11}" name="総数／構成比" dataDxfId="128"/>
    <tableColumn id="12" xr3:uid="{3E11FBAA-6143-438C-9A59-24BAE216EE42}" name="個人／事業所数" dataCellStyle="桁区切り"/>
    <tableColumn id="13" xr3:uid="{618789A8-DACD-428B-BA16-0C00DB7A6885}" name="個人／構成比" dataDxfId="127"/>
    <tableColumn id="14" xr3:uid="{EE7053A5-1AFF-483E-8BC3-C3CB6B095DF6}" name="法人／事業所数" dataCellStyle="桁区切り"/>
    <tableColumn id="15" xr3:uid="{C3565CD3-E7E9-4921-9B52-25EFF29980DA}" name="法人／構成比" dataDxfId="126"/>
    <tableColumn id="16" xr3:uid="{54B8A392-E51C-4ECF-94CA-BB51696A65D4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57EE55E-CA3B-4F98-AF34-5AF6A63B697B}" name="LTBL_13361" displayName="LTBL_13361" ref="B4:I20" totalsRowCount="1">
  <autoFilter ref="B4:I19" xr:uid="{057EE55E-CA3B-4F98-AF34-5AF6A63B697B}"/>
  <tableColumns count="8">
    <tableColumn id="9" xr3:uid="{082E9602-E167-499B-9FE5-7334862D4756}" name="産業大分類" totalsRowLabel="合計" totalsRowDxfId="125"/>
    <tableColumn id="10" xr3:uid="{C887EFB7-A739-4D24-8F44-753CF97E5131}" name="総数／事業所数" totalsRowFunction="custom" totalsRowDxfId="124" dataCellStyle="桁区切り" totalsRowCellStyle="桁区切り">
      <totalsRowFormula>SUM(LTBL_13361[総数／事業所数])</totalsRowFormula>
    </tableColumn>
    <tableColumn id="11" xr3:uid="{0F0AD305-18D8-46EB-BA58-DBFC707F1C8F}" name="総数／構成比" dataDxfId="123"/>
    <tableColumn id="12" xr3:uid="{8773461F-1105-47A2-877D-6848972D1A52}" name="個人／事業所数" totalsRowFunction="sum" totalsRowDxfId="122" dataCellStyle="桁区切り" totalsRowCellStyle="桁区切り"/>
    <tableColumn id="13" xr3:uid="{FF1C9B84-9252-4ADF-9FE6-37F1E81E0251}" name="個人／構成比" dataDxfId="121"/>
    <tableColumn id="14" xr3:uid="{22F91E82-5968-419B-88A5-C713A539BE9B}" name="法人／事業所数" totalsRowFunction="sum" totalsRowDxfId="120" dataCellStyle="桁区切り" totalsRowCellStyle="桁区切り"/>
    <tableColumn id="15" xr3:uid="{AF01ADC3-6E75-4411-B165-DA44E075D941}" name="法人／構成比" dataDxfId="119"/>
    <tableColumn id="16" xr3:uid="{33EEBCEF-F09E-4FE1-80F5-FF98936D3062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A892BC-2F99-442A-B5A7-8E17E98C3A14}" name="M_TABLE_13104" displayName="M_TABLE_13104" ref="B23:I43" totalsRowShown="0">
  <autoFilter ref="B23:I43" xr:uid="{3AA892BC-2F99-442A-B5A7-8E17E98C3A14}"/>
  <tableColumns count="8">
    <tableColumn id="9" xr3:uid="{453A2200-583D-4204-9A6E-F71A494608C3}" name="産業中分類上位２０"/>
    <tableColumn id="10" xr3:uid="{E7A9182C-B712-4FA8-9A0B-9DC5E735779A}" name="総数／事業所数" dataCellStyle="桁区切り"/>
    <tableColumn id="11" xr3:uid="{FFA7DBC6-2FE2-4740-AEC9-6ACB274CA8B3}" name="総数／構成比" dataDxfId="831"/>
    <tableColumn id="12" xr3:uid="{6D15B559-E555-44DD-8CCF-EDAE365D980E}" name="個人／事業所数" dataCellStyle="桁区切り"/>
    <tableColumn id="13" xr3:uid="{54778620-5740-41D3-B482-0F9BFD116006}" name="個人／構成比" dataDxfId="830"/>
    <tableColumn id="14" xr3:uid="{4234BE5A-8B46-4F71-8BD7-23986268E23B}" name="法人／事業所数" dataCellStyle="桁区切り"/>
    <tableColumn id="15" xr3:uid="{B7E0B915-3796-47C1-9CAB-85051CF6710E}" name="法人／構成比" dataDxfId="829"/>
    <tableColumn id="16" xr3:uid="{1107F0E0-53D8-4D52-9D06-8D62921E7784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5C792EEE-AD63-42B4-853B-CBB2EDC3DA37}" name="M_TABLE_13361" displayName="M_TABLE_13361" ref="B23:I48" totalsRowShown="0">
  <autoFilter ref="B23:I48" xr:uid="{5C792EEE-AD63-42B4-853B-CBB2EDC3DA37}"/>
  <tableColumns count="8">
    <tableColumn id="9" xr3:uid="{A0D71EBD-5B91-4F6E-90E2-048441288E91}" name="産業中分類上位２０"/>
    <tableColumn id="10" xr3:uid="{3B750E61-F3CD-4A20-A491-6135B33F9A5B}" name="総数／事業所数" dataCellStyle="桁区切り"/>
    <tableColumn id="11" xr3:uid="{A713879C-54D5-43B1-AD70-BC5AA599A3AB}" name="総数／構成比" dataDxfId="117"/>
    <tableColumn id="12" xr3:uid="{F66AAD34-E664-47F6-AD35-7E865F1B78B7}" name="個人／事業所数" dataCellStyle="桁区切り"/>
    <tableColumn id="13" xr3:uid="{A32C146D-B327-4879-AE39-7FEB41390EA3}" name="個人／構成比" dataDxfId="116"/>
    <tableColumn id="14" xr3:uid="{C02A35EA-B862-4D0A-9DBB-6EC988D33BFE}" name="法人／事業所数" dataCellStyle="桁区切り"/>
    <tableColumn id="15" xr3:uid="{8A7C2325-1D98-420A-A449-ED507017D944}" name="法人／構成比" dataDxfId="115"/>
    <tableColumn id="16" xr3:uid="{6648A4AD-3953-4F15-B4D3-8AA85D3540BC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1E259584-D1C9-4069-88BF-0FC86BBA5CD9}" name="S_TABLE_13361" displayName="S_TABLE_13361" ref="B51:I72" totalsRowShown="0">
  <autoFilter ref="B51:I72" xr:uid="{1E259584-D1C9-4069-88BF-0FC86BBA5CD9}"/>
  <tableColumns count="8">
    <tableColumn id="9" xr3:uid="{0A71744C-6728-4E58-A22F-7210C151E7A7}" name="産業小分類上位２０"/>
    <tableColumn id="10" xr3:uid="{46FC7513-31FC-4D00-86C4-B75744F5C165}" name="総数／事業所数" dataCellStyle="桁区切り"/>
    <tableColumn id="11" xr3:uid="{15795717-FE9F-4310-869F-6194864487F8}" name="総数／構成比" dataDxfId="114"/>
    <tableColumn id="12" xr3:uid="{D7F3B3EB-7CDA-4160-B7DC-D7824A2F76B6}" name="個人／事業所数" dataCellStyle="桁区切り"/>
    <tableColumn id="13" xr3:uid="{645DA9A1-9C65-4BBA-92FF-A89339B787D1}" name="個人／構成比" dataDxfId="113"/>
    <tableColumn id="14" xr3:uid="{239E9680-0691-45DA-8037-1C70315BD5B8}" name="法人／事業所数" dataCellStyle="桁区切り"/>
    <tableColumn id="15" xr3:uid="{2FAD44A0-16B8-485A-A16D-AB6173F0E810}" name="法人／構成比" dataDxfId="112"/>
    <tableColumn id="16" xr3:uid="{56497880-7A11-4E2D-B4BD-86CCA72954EF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E37DE656-93DF-4325-A33A-5F33F9F81EA1}" name="LTBL_13362" displayName="LTBL_13362" ref="B4:I20" totalsRowCount="1">
  <autoFilter ref="B4:I19" xr:uid="{E37DE656-93DF-4325-A33A-5F33F9F81EA1}"/>
  <tableColumns count="8">
    <tableColumn id="9" xr3:uid="{CB9307B7-6E30-45E8-ABD4-044F6194A316}" name="産業大分類" totalsRowLabel="合計" totalsRowDxfId="111"/>
    <tableColumn id="10" xr3:uid="{4C84DA94-52BE-40FB-BD77-644F2758687E}" name="総数／事業所数" totalsRowFunction="custom" totalsRowDxfId="110" dataCellStyle="桁区切り" totalsRowCellStyle="桁区切り">
      <totalsRowFormula>SUM(LTBL_13362[総数／事業所数])</totalsRowFormula>
    </tableColumn>
    <tableColumn id="11" xr3:uid="{ED72F9AC-417A-4CEC-AB16-C1F21BFD2461}" name="総数／構成比" dataDxfId="109"/>
    <tableColumn id="12" xr3:uid="{298E7C2F-9BD7-4153-ACC0-B1AACF1B9DE2}" name="個人／事業所数" totalsRowFunction="sum" totalsRowDxfId="108" dataCellStyle="桁区切り" totalsRowCellStyle="桁区切り"/>
    <tableColumn id="13" xr3:uid="{0BD6A651-7DB5-4B4A-B979-DABE5F503B7F}" name="個人／構成比" dataDxfId="107"/>
    <tableColumn id="14" xr3:uid="{2539633E-DBF3-49A6-AF28-218DB27AC419}" name="法人／事業所数" totalsRowFunction="sum" totalsRowDxfId="106" dataCellStyle="桁区切り" totalsRowCellStyle="桁区切り"/>
    <tableColumn id="15" xr3:uid="{99AD1C28-4E93-49DD-8A03-03798254A71F}" name="法人／構成比" dataDxfId="105"/>
    <tableColumn id="16" xr3:uid="{BE38C3AA-8142-43F5-AAD0-15E45B2761A6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1EFA8A83-62F9-409B-8CED-67E0AD1DF6C1}" name="M_TABLE_13362" displayName="M_TABLE_13362" ref="B23:I35" totalsRowShown="0">
  <autoFilter ref="B23:I35" xr:uid="{1EFA8A83-62F9-409B-8CED-67E0AD1DF6C1}"/>
  <tableColumns count="8">
    <tableColumn id="9" xr3:uid="{1B0D47BD-506D-4890-A13B-A1CC370FC632}" name="産業中分類上位２０"/>
    <tableColumn id="10" xr3:uid="{2B461CD7-D442-427B-B711-1DB91487FD45}" name="総数／事業所数" dataCellStyle="桁区切り"/>
    <tableColumn id="11" xr3:uid="{C0DDFF44-1EC4-4F49-9BCC-DF49E4D41BDA}" name="総数／構成比" dataDxfId="103"/>
    <tableColumn id="12" xr3:uid="{6F46F91C-B327-4599-92C5-C817AECB8E37}" name="個人／事業所数" dataCellStyle="桁区切り"/>
    <tableColumn id="13" xr3:uid="{95D8A0C3-7420-4A3E-B048-16AF3D28CABF}" name="個人／構成比" dataDxfId="102"/>
    <tableColumn id="14" xr3:uid="{7C5A00AD-28E2-4F04-8D64-193C874E8CD4}" name="法人／事業所数" dataCellStyle="桁区切り"/>
    <tableColumn id="15" xr3:uid="{D820EC80-2B32-484F-A4CB-D7D89EE65730}" name="法人／構成比" dataDxfId="101"/>
    <tableColumn id="16" xr3:uid="{BD6648D6-28D0-4ED2-A67A-1ED2C67A6EEC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1EC80193-B73C-47C2-B7B6-98ED6CC0D190}" name="S_TABLE_13362" displayName="S_TABLE_13362" ref="B38:I50" totalsRowShown="0">
  <autoFilter ref="B38:I50" xr:uid="{1EC80193-B73C-47C2-B7B6-98ED6CC0D190}"/>
  <tableColumns count="8">
    <tableColumn id="9" xr3:uid="{E122EF1E-1788-4910-8151-1F096A226E0A}" name="産業小分類上位２０"/>
    <tableColumn id="10" xr3:uid="{A7AD6DC5-C491-43D2-B183-F1E967F86B4F}" name="総数／事業所数" dataCellStyle="桁区切り"/>
    <tableColumn id="11" xr3:uid="{BFAAFECF-60D8-481C-B9C4-15910DE95EC8}" name="総数／構成比" dataDxfId="100"/>
    <tableColumn id="12" xr3:uid="{58C555FF-B25D-4A0E-9095-718944E35696}" name="個人／事業所数" dataCellStyle="桁区切り"/>
    <tableColumn id="13" xr3:uid="{C4E82E96-E933-4EEA-B186-28043BAD629F}" name="個人／構成比" dataDxfId="99"/>
    <tableColumn id="14" xr3:uid="{AC9AB3D2-CDA4-4FCD-B891-2A6300A19A1E}" name="法人／事業所数" dataCellStyle="桁区切り"/>
    <tableColumn id="15" xr3:uid="{7264E506-A029-45E7-BFF1-D72BD5D6213B}" name="法人／構成比" dataDxfId="98"/>
    <tableColumn id="16" xr3:uid="{5CC8C4CF-4799-48B5-9937-6C08801CE84B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82F858CE-4F4A-4782-9BD6-A5B197A2BE29}" name="LTBL_13363" displayName="LTBL_13363" ref="B4:I20" totalsRowCount="1">
  <autoFilter ref="B4:I19" xr:uid="{82F858CE-4F4A-4782-9BD6-A5B197A2BE29}"/>
  <tableColumns count="8">
    <tableColumn id="9" xr3:uid="{FA9100FC-B7E7-47E9-9F20-2A4C6D48ED9E}" name="産業大分類" totalsRowLabel="合計" totalsRowDxfId="97"/>
    <tableColumn id="10" xr3:uid="{2A245B60-BB08-41E8-A7C2-164A7F65543F}" name="総数／事業所数" totalsRowFunction="custom" totalsRowDxfId="96" dataCellStyle="桁区切り" totalsRowCellStyle="桁区切り">
      <totalsRowFormula>SUM(LTBL_13363[総数／事業所数])</totalsRowFormula>
    </tableColumn>
    <tableColumn id="11" xr3:uid="{58CAB6DF-8029-49CD-B314-2A9831011B87}" name="総数／構成比" dataDxfId="95"/>
    <tableColumn id="12" xr3:uid="{8F0D5788-1923-4E0C-8CBA-EFB501AC6F53}" name="個人／事業所数" totalsRowFunction="sum" totalsRowDxfId="94" dataCellStyle="桁区切り" totalsRowCellStyle="桁区切り"/>
    <tableColumn id="13" xr3:uid="{37367EEA-043C-4920-B136-809E3B4E73A3}" name="個人／構成比" dataDxfId="93"/>
    <tableColumn id="14" xr3:uid="{DC723E9E-AE47-45E1-8BCC-464467114F89}" name="法人／事業所数" totalsRowFunction="sum" totalsRowDxfId="92" dataCellStyle="桁区切り" totalsRowCellStyle="桁区切り"/>
    <tableColumn id="15" xr3:uid="{52ED5A8F-7EB2-4D20-8DD5-4497945273D8}" name="法人／構成比" dataDxfId="91"/>
    <tableColumn id="16" xr3:uid="{3ECB6C17-AB13-45C1-8EA8-9962A2B30439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F346DEC4-1FC2-48EE-9E3B-310697CB0CA6}" name="M_TABLE_13363" displayName="M_TABLE_13363" ref="B23:I51" totalsRowShown="0">
  <autoFilter ref="B23:I51" xr:uid="{F346DEC4-1FC2-48EE-9E3B-310697CB0CA6}"/>
  <tableColumns count="8">
    <tableColumn id="9" xr3:uid="{3F0F2A44-493E-4897-9B81-B9A889A12634}" name="産業中分類上位２０"/>
    <tableColumn id="10" xr3:uid="{C1D600E5-6E99-4232-9A5D-3E801AF6BFCA}" name="総数／事業所数" dataCellStyle="桁区切り"/>
    <tableColumn id="11" xr3:uid="{DBB2DBCD-2169-416B-B4A2-A54CB2E60639}" name="総数／構成比" dataDxfId="89"/>
    <tableColumn id="12" xr3:uid="{F7C4D0E6-5982-4165-B5F4-066A50E41B99}" name="個人／事業所数" dataCellStyle="桁区切り"/>
    <tableColumn id="13" xr3:uid="{EEF32AD0-DDDA-4D22-9202-C0FD3DD2B78F}" name="個人／構成比" dataDxfId="88"/>
    <tableColumn id="14" xr3:uid="{B4DA00D0-A2D6-47C1-87E7-BCCD2937CE37}" name="法人／事業所数" dataCellStyle="桁区切り"/>
    <tableColumn id="15" xr3:uid="{272A8474-DEBF-4FCD-BED9-D6CFEF700D96}" name="法人／構成比" dataDxfId="87"/>
    <tableColumn id="16" xr3:uid="{3F016E20-DE54-491E-804D-1250B967A3A0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6C98E480-1458-4250-8DEE-A1D83E7E0148}" name="S_TABLE_13363" displayName="S_TABLE_13363" ref="B54:I79" totalsRowShown="0">
  <autoFilter ref="B54:I79" xr:uid="{6C98E480-1458-4250-8DEE-A1D83E7E0148}"/>
  <tableColumns count="8">
    <tableColumn id="9" xr3:uid="{F3213186-E38A-49B6-AAAB-17427F454C1E}" name="産業小分類上位２０"/>
    <tableColumn id="10" xr3:uid="{D69918BC-5F7E-4118-90A6-9BE0B11A955D}" name="総数／事業所数" dataCellStyle="桁区切り"/>
    <tableColumn id="11" xr3:uid="{3507614C-6D3A-48C8-9E85-B032606ECF9C}" name="総数／構成比" dataDxfId="86"/>
    <tableColumn id="12" xr3:uid="{39B2F2F0-0F5F-4607-8EEC-9317C7EE6E96}" name="個人／事業所数" dataCellStyle="桁区切り"/>
    <tableColumn id="13" xr3:uid="{05DD0C4A-AB21-4F4D-B1FB-471F4B24158F}" name="個人／構成比" dataDxfId="85"/>
    <tableColumn id="14" xr3:uid="{EAA71348-1B7F-4145-8FF0-D3CE2D515D5E}" name="法人／事業所数" dataCellStyle="桁区切り"/>
    <tableColumn id="15" xr3:uid="{2C0703D5-FF28-4224-B8D0-D8A6CB0E2A93}" name="法人／構成比" dataDxfId="84"/>
    <tableColumn id="16" xr3:uid="{5E938B52-35E5-4C50-8328-0F43D6EA7C09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E0F94B97-A9C8-4700-864C-3C371DC1E89C}" name="LTBL_13364" displayName="LTBL_13364" ref="B4:I20" totalsRowCount="1">
  <autoFilter ref="B4:I19" xr:uid="{E0F94B97-A9C8-4700-864C-3C371DC1E89C}"/>
  <tableColumns count="8">
    <tableColumn id="9" xr3:uid="{1DDE6543-006E-436F-B003-085D7D3FA0CB}" name="産業大分類" totalsRowLabel="合計" totalsRowDxfId="83"/>
    <tableColumn id="10" xr3:uid="{E07B1500-F0C4-4198-AFBA-BA58E844B962}" name="総数／事業所数" totalsRowFunction="custom" totalsRowDxfId="82" dataCellStyle="桁区切り" totalsRowCellStyle="桁区切り">
      <totalsRowFormula>SUM(LTBL_13364[総数／事業所数])</totalsRowFormula>
    </tableColumn>
    <tableColumn id="11" xr3:uid="{D9252A9F-841E-4627-BA42-19874E14A71C}" name="総数／構成比" dataDxfId="81"/>
    <tableColumn id="12" xr3:uid="{1CA39A76-8876-456E-81D2-DD407CBD8C72}" name="個人／事業所数" totalsRowFunction="sum" totalsRowDxfId="80" dataCellStyle="桁区切り" totalsRowCellStyle="桁区切り"/>
    <tableColumn id="13" xr3:uid="{06CAAD4B-8548-495B-81D0-A03FE08F6839}" name="個人／構成比" dataDxfId="79"/>
    <tableColumn id="14" xr3:uid="{AE5278C3-6ABE-4F1E-9823-EEF501D135A1}" name="法人／事業所数" totalsRowFunction="sum" totalsRowDxfId="78" dataCellStyle="桁区切り" totalsRowCellStyle="桁区切り"/>
    <tableColumn id="15" xr3:uid="{23CE2811-F108-47D5-AEB9-DB0944FE314D}" name="法人／構成比" dataDxfId="77"/>
    <tableColumn id="16" xr3:uid="{23AD5AAE-9B08-4601-A240-2719AE341470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87D10FA8-8642-4DC2-B188-737DB356F93E}" name="M_TABLE_13364" displayName="M_TABLE_13364" ref="B23:I51" totalsRowShown="0">
  <autoFilter ref="B23:I51" xr:uid="{87D10FA8-8642-4DC2-B188-737DB356F93E}"/>
  <tableColumns count="8">
    <tableColumn id="9" xr3:uid="{BA3387EB-C406-4E23-A349-640A81B5382B}" name="産業中分類上位２０"/>
    <tableColumn id="10" xr3:uid="{EB98ECAC-D9F3-4849-8EEE-56D19F51C02C}" name="総数／事業所数" dataCellStyle="桁区切り"/>
    <tableColumn id="11" xr3:uid="{D98DCF03-3988-429A-A22A-03FD6F0C05D6}" name="総数／構成比" dataDxfId="75"/>
    <tableColumn id="12" xr3:uid="{297EC0C0-1289-41E4-87CB-3BD444D996AD}" name="個人／事業所数" dataCellStyle="桁区切り"/>
    <tableColumn id="13" xr3:uid="{2D92964E-B9AD-4328-B88E-B0F51F5C6210}" name="個人／構成比" dataDxfId="74"/>
    <tableColumn id="14" xr3:uid="{B78C02FD-F8CD-4CA2-B38D-AA1FC70FB924}" name="法人／事業所数" dataCellStyle="桁区切り"/>
    <tableColumn id="15" xr3:uid="{BAB970AE-0A69-42AC-98E4-D7C7181D1120}" name="法人／構成比" dataDxfId="73"/>
    <tableColumn id="16" xr3:uid="{25DB884E-665C-47B0-B70B-0D1D0382BA39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3096445-31F5-4501-979B-56D22417C56F}" name="S_TABLE_13104" displayName="S_TABLE_13104" ref="B46:I66" totalsRowShown="0">
  <autoFilter ref="B46:I66" xr:uid="{E3096445-31F5-4501-979B-56D22417C56F}"/>
  <tableColumns count="8">
    <tableColumn id="9" xr3:uid="{FDE2C3AC-0E27-44A5-A400-8B7310E1E4BA}" name="産業小分類上位２０"/>
    <tableColumn id="10" xr3:uid="{272127EE-C9CC-42FE-B15E-EAB98B2FD90C}" name="総数／事業所数" dataCellStyle="桁区切り"/>
    <tableColumn id="11" xr3:uid="{6A9FC3BB-3A26-4B29-A3A6-CE7498135128}" name="総数／構成比" dataDxfId="828"/>
    <tableColumn id="12" xr3:uid="{2E50FAC4-B683-48C2-8B40-BAFCE9E0DD53}" name="個人／事業所数" dataCellStyle="桁区切り"/>
    <tableColumn id="13" xr3:uid="{DF258FF7-469E-4640-A8A5-B770E43D8AE0}" name="個人／構成比" dataDxfId="827"/>
    <tableColumn id="14" xr3:uid="{3BAAA0FF-EA5A-4555-80EF-3E3B3C007BCC}" name="法人／事業所数" dataCellStyle="桁区切り"/>
    <tableColumn id="15" xr3:uid="{A2D58B9A-B8D6-4007-A35F-0C62644A442D}" name="法人／構成比" dataDxfId="826"/>
    <tableColumn id="16" xr3:uid="{005D1C93-473E-4511-B61B-02DE485EACEE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1E078F39-E914-4BD1-9D93-0A30B5AFAFFD}" name="S_TABLE_13364" displayName="S_TABLE_13364" ref="B54:I77" totalsRowShown="0">
  <autoFilter ref="B54:I77" xr:uid="{1E078F39-E914-4BD1-9D93-0A30B5AFAFFD}"/>
  <tableColumns count="8">
    <tableColumn id="9" xr3:uid="{82C11169-B97C-4BAC-BE88-1199AFBF2466}" name="産業小分類上位２０"/>
    <tableColumn id="10" xr3:uid="{35395682-D373-454E-9F72-6AF02228E3C3}" name="総数／事業所数" dataCellStyle="桁区切り"/>
    <tableColumn id="11" xr3:uid="{FF17A806-5D2A-402C-A1F9-1CA39D853E36}" name="総数／構成比" dataDxfId="72"/>
    <tableColumn id="12" xr3:uid="{7097C8BF-B63C-418A-AF93-B32C0996FB3B}" name="個人／事業所数" dataCellStyle="桁区切り"/>
    <tableColumn id="13" xr3:uid="{DFBCB018-2FCC-42B3-9BC4-60509473F71A}" name="個人／構成比" dataDxfId="71"/>
    <tableColumn id="14" xr3:uid="{D88C4A4B-0463-416C-9701-393515565FC0}" name="法人／事業所数" dataCellStyle="桁区切り"/>
    <tableColumn id="15" xr3:uid="{6BDD11CA-4306-4818-9C11-512A8C504C49}" name="法人／構成比" dataDxfId="70"/>
    <tableColumn id="16" xr3:uid="{3F647B20-1B6D-4B22-A890-EB7B0E562A0C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C26683D4-F49E-40C4-9A6E-488CE8EF1531}" name="LTBL_13381" displayName="LTBL_13381" ref="B4:I20" totalsRowCount="1">
  <autoFilter ref="B4:I19" xr:uid="{C26683D4-F49E-40C4-9A6E-488CE8EF1531}"/>
  <tableColumns count="8">
    <tableColumn id="9" xr3:uid="{7386C6FA-8085-4C87-8B8D-77D13795FF3E}" name="産業大分類" totalsRowLabel="合計" totalsRowDxfId="69"/>
    <tableColumn id="10" xr3:uid="{3E23026C-796C-401C-92DE-ED9812047FF4}" name="総数／事業所数" totalsRowFunction="custom" totalsRowDxfId="68" dataCellStyle="桁区切り" totalsRowCellStyle="桁区切り">
      <totalsRowFormula>SUM(LTBL_13381[総数／事業所数])</totalsRowFormula>
    </tableColumn>
    <tableColumn id="11" xr3:uid="{1415A5C9-2868-4C8A-BD6F-B954728FC812}" name="総数／構成比" dataDxfId="67"/>
    <tableColumn id="12" xr3:uid="{A1653BBC-B9D6-4B46-AD24-BA349CB31DD4}" name="個人／事業所数" totalsRowFunction="sum" totalsRowDxfId="66" dataCellStyle="桁区切り" totalsRowCellStyle="桁区切り"/>
    <tableColumn id="13" xr3:uid="{83916968-7B5D-460C-9E42-4629B685D57D}" name="個人／構成比" dataDxfId="65"/>
    <tableColumn id="14" xr3:uid="{B57C0D02-DD36-4730-80E0-22466BAC6CF6}" name="法人／事業所数" totalsRowFunction="sum" totalsRowDxfId="64" dataCellStyle="桁区切り" totalsRowCellStyle="桁区切り"/>
    <tableColumn id="15" xr3:uid="{1EBF26B6-BE68-49D8-9BE2-4B3D348AD0F8}" name="法人／構成比" dataDxfId="63"/>
    <tableColumn id="16" xr3:uid="{45DD877E-E550-4579-97A7-29CD181661DC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D0C8FABC-5CFA-42B9-9B37-C08A08FDCBC9}" name="M_TABLE_13381" displayName="M_TABLE_13381" ref="B23:I43" totalsRowShown="0">
  <autoFilter ref="B23:I43" xr:uid="{D0C8FABC-5CFA-42B9-9B37-C08A08FDCBC9}"/>
  <tableColumns count="8">
    <tableColumn id="9" xr3:uid="{D7201003-DBEA-4EF5-A765-4161390B9619}" name="産業中分類上位２０"/>
    <tableColumn id="10" xr3:uid="{D7E0D60F-9C15-4CCA-AD48-112750006537}" name="総数／事業所数" dataCellStyle="桁区切り"/>
    <tableColumn id="11" xr3:uid="{0908F358-A01D-4A2D-8FE9-B775AC13598A}" name="総数／構成比" dataDxfId="61"/>
    <tableColumn id="12" xr3:uid="{4A3DB356-0CC6-4E8D-8503-DF3D2447E9C6}" name="個人／事業所数" dataCellStyle="桁区切り"/>
    <tableColumn id="13" xr3:uid="{4C00B6BE-8AB7-407E-BC4B-78E84B47F730}" name="個人／構成比" dataDxfId="60"/>
    <tableColumn id="14" xr3:uid="{0EFE44A3-3D33-453E-8578-1F978B6339BD}" name="法人／事業所数" dataCellStyle="桁区切り"/>
    <tableColumn id="15" xr3:uid="{73CEE82D-5403-446C-A9A6-33A4385B6ECE}" name="法人／構成比" dataDxfId="59"/>
    <tableColumn id="16" xr3:uid="{78FD43AC-4245-46F1-95DF-A1AA31566430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9E67DD31-B7E5-4DCC-B7AD-AF8E5430330E}" name="S_TABLE_13381" displayName="S_TABLE_13381" ref="B46:I75" totalsRowShown="0">
  <autoFilter ref="B46:I75" xr:uid="{9E67DD31-B7E5-4DCC-B7AD-AF8E5430330E}"/>
  <tableColumns count="8">
    <tableColumn id="9" xr3:uid="{DDA035C0-23F4-4F90-B500-81FF65F1AAC7}" name="産業小分類上位２０"/>
    <tableColumn id="10" xr3:uid="{3149C1B7-9C66-4BBF-8B57-34D8D9AE736F}" name="総数／事業所数" dataCellStyle="桁区切り"/>
    <tableColumn id="11" xr3:uid="{CB78BACB-3F4B-43A1-B069-79FE29D6F641}" name="総数／構成比" dataDxfId="58"/>
    <tableColumn id="12" xr3:uid="{1D1D277B-F15F-4CE9-98C7-1D67A5F3915E}" name="個人／事業所数" dataCellStyle="桁区切り"/>
    <tableColumn id="13" xr3:uid="{379A1B99-F9FD-4ED9-BAAA-77251ED9B020}" name="個人／構成比" dataDxfId="57"/>
    <tableColumn id="14" xr3:uid="{32CA13EC-5105-4541-8796-2703ECCF625F}" name="法人／事業所数" dataCellStyle="桁区切り"/>
    <tableColumn id="15" xr3:uid="{0324F765-1EE6-4341-8283-94D0263E3052}" name="法人／構成比" dataDxfId="56"/>
    <tableColumn id="16" xr3:uid="{144A4A2F-B6E9-4391-BC1F-2E24894B5EDD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848E396-BDF1-4D94-AC49-41073D1575FB}" name="LTBL_13382" displayName="LTBL_13382" ref="B4:I20" totalsRowCount="1">
  <autoFilter ref="B4:I19" xr:uid="{0848E396-BDF1-4D94-AC49-41073D1575FB}"/>
  <tableColumns count="8">
    <tableColumn id="9" xr3:uid="{3175525A-AA86-45E5-928F-AD50AE10EB9C}" name="産業大分類" totalsRowLabel="合計" totalsRowDxfId="55"/>
    <tableColumn id="10" xr3:uid="{4061F1DD-3FE3-4220-9EA1-2740E74FC4BA}" name="総数／事業所数" totalsRowFunction="custom" totalsRowDxfId="54" dataCellStyle="桁区切り" totalsRowCellStyle="桁区切り">
      <totalsRowFormula>SUM(LTBL_13382[総数／事業所数])</totalsRowFormula>
    </tableColumn>
    <tableColumn id="11" xr3:uid="{FEF7EAB1-31E2-43B5-A786-63CAC1C15C20}" name="総数／構成比" dataDxfId="53"/>
    <tableColumn id="12" xr3:uid="{7A776108-273B-4191-815D-2D3DF74F81E7}" name="個人／事業所数" totalsRowFunction="sum" totalsRowDxfId="52" dataCellStyle="桁区切り" totalsRowCellStyle="桁区切り"/>
    <tableColumn id="13" xr3:uid="{F5DFAA0D-B6EB-41DC-AB32-4BB16C76D3D9}" name="個人／構成比" dataDxfId="51"/>
    <tableColumn id="14" xr3:uid="{CF14FA55-728F-4338-8AAC-14CF9DE3DA11}" name="法人／事業所数" totalsRowFunction="sum" totalsRowDxfId="50" dataCellStyle="桁区切り" totalsRowCellStyle="桁区切り"/>
    <tableColumn id="15" xr3:uid="{E31EDDC5-AD36-4B07-A420-50788AB8C316}" name="法人／構成比" dataDxfId="49"/>
    <tableColumn id="16" xr3:uid="{39A389CB-C4E3-4067-A06B-76AD540AE853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A92F3133-2DAC-413A-895C-4A3B74BEF59C}" name="M_TABLE_13382" displayName="M_TABLE_13382" ref="B23:I30" totalsRowShown="0">
  <autoFilter ref="B23:I30" xr:uid="{A92F3133-2DAC-413A-895C-4A3B74BEF59C}"/>
  <tableColumns count="8">
    <tableColumn id="9" xr3:uid="{09C3037E-D721-4609-94F5-B1574A3AC167}" name="産業中分類上位２０"/>
    <tableColumn id="10" xr3:uid="{8DF5B2C5-4C89-4476-A57F-80D9632D4580}" name="総数／事業所数" dataCellStyle="桁区切り"/>
    <tableColumn id="11" xr3:uid="{63557908-0B80-4423-AF4A-63D7130B4EB2}" name="総数／構成比" dataDxfId="47"/>
    <tableColumn id="12" xr3:uid="{DE895784-A69F-4FA1-A888-99791DAF46E0}" name="個人／事業所数" dataCellStyle="桁区切り"/>
    <tableColumn id="13" xr3:uid="{750BCAC4-663B-4EA3-8964-CF40229E7E27}" name="個人／構成比" dataDxfId="46"/>
    <tableColumn id="14" xr3:uid="{92EA404E-480C-459B-A388-DF2AF0532359}" name="法人／事業所数" dataCellStyle="桁区切り"/>
    <tableColumn id="15" xr3:uid="{BE1FDF90-4167-4720-BA45-33945B852B52}" name="法人／構成比" dataDxfId="45"/>
    <tableColumn id="16" xr3:uid="{5F5EB7F3-9F34-46DC-821B-BBA96E9A48BF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7B2F0285-1DF3-4CA2-8081-59178ADDBF53}" name="S_TABLE_13382" displayName="S_TABLE_13382" ref="B33:I42" totalsRowShown="0">
  <autoFilter ref="B33:I42" xr:uid="{7B2F0285-1DF3-4CA2-8081-59178ADDBF53}"/>
  <tableColumns count="8">
    <tableColumn id="9" xr3:uid="{6CCF7F6B-C797-4B55-A1CA-471040A743F9}" name="産業小分類上位２０"/>
    <tableColumn id="10" xr3:uid="{55BB3920-AD52-44EC-A0AA-37B9CA0C5CBB}" name="総数／事業所数" dataCellStyle="桁区切り"/>
    <tableColumn id="11" xr3:uid="{1356F79E-F6A9-490D-A8B4-DA4AE6798F40}" name="総数／構成比" dataDxfId="44"/>
    <tableColumn id="12" xr3:uid="{C021D6D5-73ED-439B-BE64-C01C15399B7C}" name="個人／事業所数" dataCellStyle="桁区切り"/>
    <tableColumn id="13" xr3:uid="{CD664BEE-D7F9-40AD-B348-DCB05C6F7E9B}" name="個人／構成比" dataDxfId="43"/>
    <tableColumn id="14" xr3:uid="{E50A042F-715E-4B89-A62C-B31F1EDDE9DA}" name="法人／事業所数" dataCellStyle="桁区切り"/>
    <tableColumn id="15" xr3:uid="{54645205-C806-44C5-B10E-126579A0EAAB}" name="法人／構成比" dataDxfId="42"/>
    <tableColumn id="16" xr3:uid="{EC29F3DB-1F8B-45A1-9CC2-7B9ACCA43DAA}" name="法人以外の団体／事業所数" dataCellStyle="桁区切り"/>
  </tableColumns>
  <tableStyleInfo name="TableStyleMedium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A4E077BD-2F98-4A6C-BE8F-E45D1F91F30A}" name="LTBL_13401" displayName="LTBL_13401" ref="B4:I20" totalsRowCount="1">
  <autoFilter ref="B4:I19" xr:uid="{A4E077BD-2F98-4A6C-BE8F-E45D1F91F30A}"/>
  <tableColumns count="8">
    <tableColumn id="9" xr3:uid="{9832FE75-639C-4211-ADB4-D8382B3585C7}" name="産業大分類" totalsRowLabel="合計" totalsRowDxfId="41"/>
    <tableColumn id="10" xr3:uid="{14CB47B4-31DC-4D29-B966-7039CEF96092}" name="総数／事業所数" totalsRowFunction="custom" totalsRowDxfId="40" dataCellStyle="桁区切り" totalsRowCellStyle="桁区切り">
      <totalsRowFormula>SUM(LTBL_13401[総数／事業所数])</totalsRowFormula>
    </tableColumn>
    <tableColumn id="11" xr3:uid="{0B647C31-A6DD-4788-B3D8-4FE68014F5DB}" name="総数／構成比" dataDxfId="39"/>
    <tableColumn id="12" xr3:uid="{4CA70672-1021-4A89-BD62-146949078826}" name="個人／事業所数" totalsRowFunction="sum" totalsRowDxfId="38" dataCellStyle="桁区切り" totalsRowCellStyle="桁区切り"/>
    <tableColumn id="13" xr3:uid="{44EF5D50-DA02-485F-969F-A6E09E6BDE59}" name="個人／構成比" dataDxfId="37"/>
    <tableColumn id="14" xr3:uid="{44974B2D-6AAE-4260-BDD4-53ABD3A9E362}" name="法人／事業所数" totalsRowFunction="sum" totalsRowDxfId="36" dataCellStyle="桁区切り" totalsRowCellStyle="桁区切り"/>
    <tableColumn id="15" xr3:uid="{22E16396-26C3-4ABC-913A-167824308C76}" name="法人／構成比" dataDxfId="35"/>
    <tableColumn id="16" xr3:uid="{2E130E76-EE74-4187-98F7-6451E56B3934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6308156-8AA9-4E8A-BA41-338F45732192}" name="M_TABLE_13401" displayName="M_TABLE_13401" ref="B23:I46" totalsRowShown="0">
  <autoFilter ref="B23:I46" xr:uid="{06308156-8AA9-4E8A-BA41-338F45732192}"/>
  <tableColumns count="8">
    <tableColumn id="9" xr3:uid="{D5DF71D7-E4D2-4B15-A22F-5C445846415B}" name="産業中分類上位２０"/>
    <tableColumn id="10" xr3:uid="{56A16E40-0D4F-4308-A918-83E2370BFA4E}" name="総数／事業所数" dataCellStyle="桁区切り"/>
    <tableColumn id="11" xr3:uid="{3102218E-D1D4-4CB8-912D-7B32D02C4542}" name="総数／構成比" dataDxfId="33"/>
    <tableColumn id="12" xr3:uid="{FCA68008-3EFF-4275-8033-B7B6F76598BB}" name="個人／事業所数" dataCellStyle="桁区切り"/>
    <tableColumn id="13" xr3:uid="{83F1ABF2-6163-49B6-BF01-AE8380DE1AE0}" name="個人／構成比" dataDxfId="32"/>
    <tableColumn id="14" xr3:uid="{3A8ADA9D-5DE7-498F-A9FD-0635FA99B95C}" name="法人／事業所数" dataCellStyle="桁区切り"/>
    <tableColumn id="15" xr3:uid="{19143907-A1D8-488C-B100-11B2390AAD70}" name="法人／構成比" dataDxfId="31"/>
    <tableColumn id="16" xr3:uid="{3F4D67AB-F702-44C8-B3ED-9BFF6DBB20B2}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689FFE96-D864-4A1C-92BE-41F8EE0FF516}" name="S_TABLE_13401" displayName="S_TABLE_13401" ref="B49:I71" totalsRowShown="0">
  <autoFilter ref="B49:I71" xr:uid="{689FFE96-D864-4A1C-92BE-41F8EE0FF516}"/>
  <tableColumns count="8">
    <tableColumn id="9" xr3:uid="{D9F2BC76-77CF-4F9C-B6FC-CB7F9C2CD845}" name="産業小分類上位２０"/>
    <tableColumn id="10" xr3:uid="{6BDB4197-E8C5-429F-86AA-415C1836581A}" name="総数／事業所数" dataCellStyle="桁区切り"/>
    <tableColumn id="11" xr3:uid="{531321CC-0C47-40F4-B6C8-3D9394B3BF2C}" name="総数／構成比" dataDxfId="30"/>
    <tableColumn id="12" xr3:uid="{04AF0B47-39DD-4CC1-8C16-4CF655EAAC09}" name="個人／事業所数" dataCellStyle="桁区切り"/>
    <tableColumn id="13" xr3:uid="{D6541CB1-E756-480B-8DE2-8C9AA9ADA87C}" name="個人／構成比" dataDxfId="29"/>
    <tableColumn id="14" xr3:uid="{CC685EEE-7510-4869-A61D-ABC1BFB11792}" name="法人／事業所数" dataCellStyle="桁区切り"/>
    <tableColumn id="15" xr3:uid="{DE0FD7FC-4D12-4E34-A32F-6E617217CA3F}" name="法人／構成比" dataDxfId="28"/>
    <tableColumn id="16" xr3:uid="{F86DAC31-2ACA-4105-8840-A8377C99045E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B021A50-B223-4D73-932A-20EA1EA8993E}" name="LTBL_13105" displayName="LTBL_13105" ref="B4:I20" totalsRowCount="1">
  <autoFilter ref="B4:I19" xr:uid="{1B021A50-B223-4D73-932A-20EA1EA8993E}"/>
  <tableColumns count="8">
    <tableColumn id="9" xr3:uid="{07BF95AB-BFB9-4C7A-AEAB-3D37A330ADA9}" name="産業大分類" totalsRowLabel="合計" totalsRowDxfId="825"/>
    <tableColumn id="10" xr3:uid="{1EA85AD3-3871-46B7-A043-74E525BDAC46}" name="総数／事業所数" totalsRowFunction="custom" totalsRowDxfId="824" dataCellStyle="桁区切り" totalsRowCellStyle="桁区切り">
      <totalsRowFormula>SUM(LTBL_13105[総数／事業所数])</totalsRowFormula>
    </tableColumn>
    <tableColumn id="11" xr3:uid="{65357823-ED07-49FB-8966-8448265881FB}" name="総数／構成比" dataDxfId="823"/>
    <tableColumn id="12" xr3:uid="{C0E09B7C-2A33-4CFC-89DE-0D479D36861B}" name="個人／事業所数" totalsRowFunction="sum" totalsRowDxfId="822" dataCellStyle="桁区切り" totalsRowCellStyle="桁区切り"/>
    <tableColumn id="13" xr3:uid="{0E8BD2BF-1107-43E9-BAFB-B6A18FCE5A4B}" name="個人／構成比" dataDxfId="821"/>
    <tableColumn id="14" xr3:uid="{C63B4974-5B07-4322-AABB-EEBD3C36F8C0}" name="法人／事業所数" totalsRowFunction="sum" totalsRowDxfId="820" dataCellStyle="桁区切り" totalsRowCellStyle="桁区切り"/>
    <tableColumn id="15" xr3:uid="{4B7C895D-82DA-473B-8661-79D222D45657}" name="法人／構成比" dataDxfId="819"/>
    <tableColumn id="16" xr3:uid="{952F1FF5-B93E-4BC7-8BFE-D83CDA8A39A9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9F33373-C7AF-477A-AB70-23E8D60A7371}" name="LTBL_13402" displayName="LTBL_13402" ref="B4:I20" totalsRowCount="1">
  <autoFilter ref="B4:I19" xr:uid="{09F33373-C7AF-477A-AB70-23E8D60A7371}"/>
  <tableColumns count="8">
    <tableColumn id="9" xr3:uid="{C115F177-AC44-446B-A17B-AF3E8627FF65}" name="産業大分類" totalsRowLabel="合計" totalsRowDxfId="27"/>
    <tableColumn id="10" xr3:uid="{289B4EAC-B6E4-4832-B1B9-82DE8FF32319}" name="総数／事業所数" totalsRowFunction="custom" totalsRowDxfId="26" dataCellStyle="桁区切り" totalsRowCellStyle="桁区切り">
      <totalsRowFormula>SUM(LTBL_13402[総数／事業所数])</totalsRowFormula>
    </tableColumn>
    <tableColumn id="11" xr3:uid="{16E722A9-D355-45CC-91B9-F3D085994A61}" name="総数／構成比" dataDxfId="25"/>
    <tableColumn id="12" xr3:uid="{31B30B5A-893D-411D-A38E-D9D97B42A94C}" name="個人／事業所数" totalsRowFunction="sum" totalsRowDxfId="24" dataCellStyle="桁区切り" totalsRowCellStyle="桁区切り"/>
    <tableColumn id="13" xr3:uid="{9078C17D-01B4-4B24-A0A9-4C1D21CEB741}" name="個人／構成比" dataDxfId="23"/>
    <tableColumn id="14" xr3:uid="{28B4CEB9-D2CE-4A08-8A6A-F9B9DC241054}" name="法人／事業所数" totalsRowFunction="sum" totalsRowDxfId="22" dataCellStyle="桁区切り" totalsRowCellStyle="桁区切り"/>
    <tableColumn id="15" xr3:uid="{B44ACB45-2EC7-4E10-AE77-32778941B4A4}" name="法人／構成比" dataDxfId="21"/>
    <tableColumn id="16" xr3:uid="{337D96C7-A6FD-4AE4-883B-8D4557C7E361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53B5AF0A-7C99-400F-9FDB-7EDE6DC8B068}" name="M_TABLE_13402" displayName="M_TABLE_13402" ref="B23:I31" totalsRowShown="0">
  <autoFilter ref="B23:I31" xr:uid="{53B5AF0A-7C99-400F-9FDB-7EDE6DC8B068}"/>
  <tableColumns count="8">
    <tableColumn id="9" xr3:uid="{7D67C57A-D414-42E4-AD72-ADF77A26186E}" name="産業中分類上位２０"/>
    <tableColumn id="10" xr3:uid="{01872816-AC92-41FA-9B36-0612DEF9CD4B}" name="総数／事業所数" dataCellStyle="桁区切り"/>
    <tableColumn id="11" xr3:uid="{03C16FC7-2031-4EBB-B68C-A0C1657D88ED}" name="総数／構成比" dataDxfId="19"/>
    <tableColumn id="12" xr3:uid="{05045C20-128D-47FF-98CF-251F88C472A6}" name="個人／事業所数" dataCellStyle="桁区切り"/>
    <tableColumn id="13" xr3:uid="{70F6A4F9-076C-4900-B3C7-C86C2F471A25}" name="個人／構成比" dataDxfId="18"/>
    <tableColumn id="14" xr3:uid="{A90254C3-55BD-4B0A-9614-6B9C426B81F3}" name="法人／事業所数" dataCellStyle="桁区切り"/>
    <tableColumn id="15" xr3:uid="{CF7D3987-BCAB-4C30-937F-1B07FDC375F6}" name="法人／構成比" dataDxfId="17"/>
    <tableColumn id="16" xr3:uid="{C8716F80-0BD0-4A66-8C2A-1E0A067F246A}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25608F0D-EBD9-41EE-AF10-7417B00961C2}" name="S_TABLE_13402" displayName="S_TABLE_13402" ref="B34:I43" totalsRowShown="0">
  <autoFilter ref="B34:I43" xr:uid="{25608F0D-EBD9-41EE-AF10-7417B00961C2}"/>
  <tableColumns count="8">
    <tableColumn id="9" xr3:uid="{171A4343-7DCE-4ACA-BA4B-D72BB892C45C}" name="産業小分類上位２０"/>
    <tableColumn id="10" xr3:uid="{8FAE668D-0BEE-4FFC-9BDF-F7DA6E249A95}" name="総数／事業所数" dataCellStyle="桁区切り"/>
    <tableColumn id="11" xr3:uid="{D7E07AE7-CB3E-475A-A1FE-E379EB0881A6}" name="総数／構成比" dataDxfId="16"/>
    <tableColumn id="12" xr3:uid="{59F4D7C7-1B37-4FF1-BECE-BA31B18AD127}" name="個人／事業所数" dataCellStyle="桁区切り"/>
    <tableColumn id="13" xr3:uid="{2B70E67F-1815-4004-A9F8-E47C42F4817B}" name="個人／構成比" dataDxfId="15"/>
    <tableColumn id="14" xr3:uid="{043865CA-4E49-40EE-A79A-F448826B44B6}" name="法人／事業所数" dataCellStyle="桁区切り"/>
    <tableColumn id="15" xr3:uid="{689D9602-02CC-4364-A983-A9F25A0DEAE0}" name="法人／構成比" dataDxfId="14"/>
    <tableColumn id="16" xr3:uid="{B64FB560-5457-4711-9FB8-56B2B8890570}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83EC963D-CAC7-4486-BA12-21AC4D434C9E}" name="LTBL_13421" displayName="LTBL_13421" ref="B4:I20" totalsRowCount="1">
  <autoFilter ref="B4:I19" xr:uid="{83EC963D-CAC7-4486-BA12-21AC4D434C9E}"/>
  <tableColumns count="8">
    <tableColumn id="9" xr3:uid="{BECADDCD-EA48-4816-9CD5-14545502BB47}" name="産業大分類" totalsRowLabel="合計" totalsRowDxfId="13"/>
    <tableColumn id="10" xr3:uid="{A9AD493C-FC5D-472B-9110-7FEA54DE094D}" name="総数／事業所数" totalsRowFunction="custom" totalsRowDxfId="12" dataCellStyle="桁区切り" totalsRowCellStyle="桁区切り">
      <totalsRowFormula>SUM(LTBL_13421[総数／事業所数])</totalsRowFormula>
    </tableColumn>
    <tableColumn id="11" xr3:uid="{16BAF87C-C764-47F6-96B5-6D60E72DA1C5}" name="総数／構成比" dataDxfId="11"/>
    <tableColumn id="12" xr3:uid="{EFDCD800-BEA6-462C-ABC4-3D6E3A965037}" name="個人／事業所数" totalsRowFunction="sum" totalsRowDxfId="10" dataCellStyle="桁区切り" totalsRowCellStyle="桁区切り"/>
    <tableColumn id="13" xr3:uid="{F2D3A66D-6C43-40A4-A2D4-0AB1E050BFA0}" name="個人／構成比" dataDxfId="9"/>
    <tableColumn id="14" xr3:uid="{7D024B1A-69F3-4D77-88AD-121D3B54DB78}" name="法人／事業所数" totalsRowFunction="sum" totalsRowDxfId="8" dataCellStyle="桁区切り" totalsRowCellStyle="桁区切り"/>
    <tableColumn id="15" xr3:uid="{9EE230F2-9C50-4D13-99FC-9BB70C7CC6D8}" name="法人／構成比" dataDxfId="7"/>
    <tableColumn id="16" xr3:uid="{40653C71-A6B1-45C8-BC12-6731C4457133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7BA3A2E-5EE3-4768-B510-0F3318BF3F11}" name="M_TABLE_13421" displayName="M_TABLE_13421" ref="B23:I45" totalsRowShown="0">
  <autoFilter ref="B23:I45" xr:uid="{07BA3A2E-5EE3-4768-B510-0F3318BF3F11}"/>
  <tableColumns count="8">
    <tableColumn id="9" xr3:uid="{39C0EC38-D37F-436A-AA44-CBA17D822060}" name="産業中分類上位２０"/>
    <tableColumn id="10" xr3:uid="{695D66D7-1A6C-4780-8C1D-4A0E21E9C411}" name="総数／事業所数" dataCellStyle="桁区切り"/>
    <tableColumn id="11" xr3:uid="{074B6433-349A-459A-9AF3-0AE8B6FED21B}" name="総数／構成比" dataDxfId="5"/>
    <tableColumn id="12" xr3:uid="{BA1890D6-5D97-498F-BD40-E66496F7F93B}" name="個人／事業所数" dataCellStyle="桁区切り"/>
    <tableColumn id="13" xr3:uid="{CD7C7169-C276-4E2D-B253-0B048BE84C41}" name="個人／構成比" dataDxfId="4"/>
    <tableColumn id="14" xr3:uid="{840A37EF-B462-40F6-BBA7-F5E9712774B6}" name="法人／事業所数" dataCellStyle="桁区切り"/>
    <tableColumn id="15" xr3:uid="{3D34447D-4E3E-4EBE-AD81-C87121A6D095}" name="法人／構成比" dataDxfId="3"/>
    <tableColumn id="16" xr3:uid="{D4A22EC0-517A-42DB-B7D4-F65E84E0526F}" name="法人以外の団体／事業所数" dataCellStyle="桁区切り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4AA23895-35BF-49F1-A861-67C714C4BA53}" name="S_TABLE_13421" displayName="S_TABLE_13421" ref="B48:I78" totalsRowShown="0">
  <autoFilter ref="B48:I78" xr:uid="{4AA23895-35BF-49F1-A861-67C714C4BA53}"/>
  <tableColumns count="8">
    <tableColumn id="9" xr3:uid="{62BE66A0-264B-476C-8996-12C349F994A0}" name="産業小分類上位２０"/>
    <tableColumn id="10" xr3:uid="{7067C896-3A96-4A86-971C-6CE326ED2FA9}" name="総数／事業所数" dataCellStyle="桁区切り"/>
    <tableColumn id="11" xr3:uid="{FFF1AD96-CD96-4D27-BCD2-31C0A5BE5B1D}" name="総数／構成比" dataDxfId="2"/>
    <tableColumn id="12" xr3:uid="{8C7FAC92-7CDA-4485-ADF4-C4529A0319DA}" name="個人／事業所数" dataCellStyle="桁区切り"/>
    <tableColumn id="13" xr3:uid="{F6CCF0C2-99EC-4CF2-9425-48EE43B86BF7}" name="個人／構成比" dataDxfId="1"/>
    <tableColumn id="14" xr3:uid="{A012778D-0969-4804-8D20-A5FEAE6EA917}" name="法人／事業所数" dataCellStyle="桁区切り"/>
    <tableColumn id="15" xr3:uid="{6D75E178-9844-4567-BB62-7C28F33595E2}" name="法人／構成比" dataDxfId="0"/>
    <tableColumn id="16" xr3:uid="{629F0F74-FD81-49A4-8F5A-D76E3DC505AD}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177625-076D-4265-84E2-4BB6CDAC20B6}" name="M_TABLE_13000" displayName="M_TABLE_13000" ref="B23:I43" totalsRowShown="0">
  <autoFilter ref="B23:I43" xr:uid="{85177625-076D-4265-84E2-4BB6CDAC20B6}"/>
  <tableColumns count="8">
    <tableColumn id="9" xr3:uid="{17CDA6CA-4F5D-415B-B479-19EC72BF30A5}" name="産業中分類上位２０"/>
    <tableColumn id="10" xr3:uid="{3EA6A805-3F81-4C3C-BA0A-6D0CFDDCF36E}" name="総数／事業所数" dataCellStyle="桁区切り"/>
    <tableColumn id="11" xr3:uid="{42E914EC-B6DB-4E07-8175-2B0518F15887}" name="総数／構成比" dataDxfId="901"/>
    <tableColumn id="12" xr3:uid="{B9E0D9ED-8E97-4F98-BFC7-423EE20E3C59}" name="個人／事業所数" dataCellStyle="桁区切り"/>
    <tableColumn id="13" xr3:uid="{877E79AC-2A2D-4460-A637-A2AB3D51E789}" name="個人／構成比" dataDxfId="900"/>
    <tableColumn id="14" xr3:uid="{2743456A-5922-4EA9-83E1-6C0A085D4A23}" name="法人／事業所数" dataCellStyle="桁区切り"/>
    <tableColumn id="15" xr3:uid="{1A33A921-C33E-4943-86B8-66281E43F598}" name="法人／構成比" dataDxfId="899"/>
    <tableColumn id="16" xr3:uid="{BAB3107F-18C3-4C82-ACAC-462E77BC5971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3ABE2D3-D145-49BC-A8E6-A90FCCDEF40E}" name="M_TABLE_13105" displayName="M_TABLE_13105" ref="B23:I43" totalsRowShown="0">
  <autoFilter ref="B23:I43" xr:uid="{93ABE2D3-D145-49BC-A8E6-A90FCCDEF40E}"/>
  <tableColumns count="8">
    <tableColumn id="9" xr3:uid="{5B3C9D5A-9600-481D-A9CC-4FF87F6DAE13}" name="産業中分類上位２０"/>
    <tableColumn id="10" xr3:uid="{11D16B65-EE8F-4D6A-86CA-037B3555C84C}" name="総数／事業所数" dataCellStyle="桁区切り"/>
    <tableColumn id="11" xr3:uid="{5116A6FD-1E98-4993-A7CE-5FB4DBFAD553}" name="総数／構成比" dataDxfId="817"/>
    <tableColumn id="12" xr3:uid="{FE93D660-644C-4D0B-93E6-694D8B54D7A2}" name="個人／事業所数" dataCellStyle="桁区切り"/>
    <tableColumn id="13" xr3:uid="{A8B0BD06-0023-46DC-9BF2-9D03D34D509D}" name="個人／構成比" dataDxfId="816"/>
    <tableColumn id="14" xr3:uid="{2D9D0D6E-95B1-4512-88DE-13DAD2A8C76F}" name="法人／事業所数" dataCellStyle="桁区切り"/>
    <tableColumn id="15" xr3:uid="{C3D41945-E021-48C0-AA2C-51BAF9DC33AC}" name="法人／構成比" dataDxfId="815"/>
    <tableColumn id="16" xr3:uid="{26FB761B-DF9F-4408-96B7-62D279112E30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BF0CE0B-C873-40F7-BC6D-09DBD9FDF179}" name="S_TABLE_13105" displayName="S_TABLE_13105" ref="B46:I66" totalsRowShown="0">
  <autoFilter ref="B46:I66" xr:uid="{DBF0CE0B-C873-40F7-BC6D-09DBD9FDF179}"/>
  <tableColumns count="8">
    <tableColumn id="9" xr3:uid="{4C6D8FDB-2DBD-4D43-8889-E097E6AFBB66}" name="産業小分類上位２０"/>
    <tableColumn id="10" xr3:uid="{081D22F6-C2B4-478C-9721-A21A138A4CAF}" name="総数／事業所数" dataCellStyle="桁区切り"/>
    <tableColumn id="11" xr3:uid="{66673EE5-6478-4902-B444-EB0137917CBD}" name="総数／構成比" dataDxfId="814"/>
    <tableColumn id="12" xr3:uid="{5D9496E2-BFCE-4CEC-9181-FCDC7ACFD682}" name="個人／事業所数" dataCellStyle="桁区切り"/>
    <tableColumn id="13" xr3:uid="{681FFD00-1D01-421B-9434-08C2DBF57BD1}" name="個人／構成比" dataDxfId="813"/>
    <tableColumn id="14" xr3:uid="{BF297B37-3241-43E4-94B7-B12BC2CB6C10}" name="法人／事業所数" dataCellStyle="桁区切り"/>
    <tableColumn id="15" xr3:uid="{97ADCDC3-CF33-4797-8694-A34B642B4CAB}" name="法人／構成比" dataDxfId="812"/>
    <tableColumn id="16" xr3:uid="{4FF69EF8-2FAA-415E-AAFB-C7993E3EC02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71E762F-DF69-4163-BDA5-CE2AA80B9E12}" name="LTBL_13106" displayName="LTBL_13106" ref="B4:I20" totalsRowCount="1">
  <autoFilter ref="B4:I19" xr:uid="{E71E762F-DF69-4163-BDA5-CE2AA80B9E12}"/>
  <tableColumns count="8">
    <tableColumn id="9" xr3:uid="{BBE09DBF-64CA-4019-987C-B725EB24446D}" name="産業大分類" totalsRowLabel="合計" totalsRowDxfId="811"/>
    <tableColumn id="10" xr3:uid="{057580A2-33FA-4137-8833-A6BBA6426A28}" name="総数／事業所数" totalsRowFunction="custom" totalsRowDxfId="810" dataCellStyle="桁区切り" totalsRowCellStyle="桁区切り">
      <totalsRowFormula>SUM(LTBL_13106[総数／事業所数])</totalsRowFormula>
    </tableColumn>
    <tableColumn id="11" xr3:uid="{F8779730-E232-4522-9CB0-6411E85FCEA8}" name="総数／構成比" dataDxfId="809"/>
    <tableColumn id="12" xr3:uid="{D77CB2D8-1795-4330-860A-BB2FA334AAEB}" name="個人／事業所数" totalsRowFunction="sum" totalsRowDxfId="808" dataCellStyle="桁区切り" totalsRowCellStyle="桁区切り"/>
    <tableColumn id="13" xr3:uid="{11FCDA3F-76E9-4127-B05E-670CAC04DF95}" name="個人／構成比" dataDxfId="807"/>
    <tableColumn id="14" xr3:uid="{99D18B95-1F5C-46CE-973B-1D8F185BBB1F}" name="法人／事業所数" totalsRowFunction="sum" totalsRowDxfId="806" dataCellStyle="桁区切り" totalsRowCellStyle="桁区切り"/>
    <tableColumn id="15" xr3:uid="{EA2D6729-E7EC-44CA-8264-FCFFE4EC9932}" name="法人／構成比" dataDxfId="805"/>
    <tableColumn id="16" xr3:uid="{79D999C9-637A-43B7-8E2C-5F4E1BAF2F83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B4CB3F5-52A6-4093-83CD-3DB193A20638}" name="M_TABLE_13106" displayName="M_TABLE_13106" ref="B23:I43" totalsRowShown="0">
  <autoFilter ref="B23:I43" xr:uid="{DB4CB3F5-52A6-4093-83CD-3DB193A20638}"/>
  <tableColumns count="8">
    <tableColumn id="9" xr3:uid="{83AF2839-9BE4-409E-9A14-ACCC1544036A}" name="産業中分類上位２０"/>
    <tableColumn id="10" xr3:uid="{D77E5AFD-2E4F-455A-84E9-8C55E5A76FD0}" name="総数／事業所数" dataCellStyle="桁区切り"/>
    <tableColumn id="11" xr3:uid="{DF841C35-3C3D-4989-8D28-AA32598B7F6E}" name="総数／構成比" dataDxfId="803"/>
    <tableColumn id="12" xr3:uid="{5DA0A300-E832-44C7-B31F-95FB2A2F292B}" name="個人／事業所数" dataCellStyle="桁区切り"/>
    <tableColumn id="13" xr3:uid="{10AB0BBC-C13A-402D-A484-E6F18628A2D0}" name="個人／構成比" dataDxfId="802"/>
    <tableColumn id="14" xr3:uid="{B3B2DBE3-8EB7-4012-85C8-75E5CFA4F117}" name="法人／事業所数" dataCellStyle="桁区切り"/>
    <tableColumn id="15" xr3:uid="{9950B6BF-6493-4285-B143-C01CA97966AC}" name="法人／構成比" dataDxfId="801"/>
    <tableColumn id="16" xr3:uid="{047022EC-516E-476B-8FDB-7869FA31EBB7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1220085-6948-45DD-99FB-4763DD6C3C78}" name="S_TABLE_13106" displayName="S_TABLE_13106" ref="B46:I66" totalsRowShown="0">
  <autoFilter ref="B46:I66" xr:uid="{01220085-6948-45DD-99FB-4763DD6C3C78}"/>
  <tableColumns count="8">
    <tableColumn id="9" xr3:uid="{95A1E69D-5416-45E3-A3A7-4A2BBA6E47A0}" name="産業小分類上位２０"/>
    <tableColumn id="10" xr3:uid="{D9223D8E-F299-43C4-B49B-3FA309D71276}" name="総数／事業所数" dataCellStyle="桁区切り"/>
    <tableColumn id="11" xr3:uid="{E475CF1A-5DAA-45EC-BBCB-C41DE1244913}" name="総数／構成比" dataDxfId="800"/>
    <tableColumn id="12" xr3:uid="{092D8EAB-F633-412B-87CB-9B4CC8CFBE4C}" name="個人／事業所数" dataCellStyle="桁区切り"/>
    <tableColumn id="13" xr3:uid="{408D2BDA-DFC0-4602-BDB4-25413A6DFA09}" name="個人／構成比" dataDxfId="799"/>
    <tableColumn id="14" xr3:uid="{21FF1C4B-ADEE-4F89-816F-5FA512861914}" name="法人／事業所数" dataCellStyle="桁区切り"/>
    <tableColumn id="15" xr3:uid="{77BA6746-E36F-42F4-8723-6307F56CFF8C}" name="法人／構成比" dataDxfId="798"/>
    <tableColumn id="16" xr3:uid="{CCD1D887-8DC3-40E8-AC4A-EE57E3DB9E5C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457FC71-7D3E-41E7-98DB-B9F7FBCC74E6}" name="LTBL_13107" displayName="LTBL_13107" ref="B4:I20" totalsRowCount="1">
  <autoFilter ref="B4:I19" xr:uid="{A457FC71-7D3E-41E7-98DB-B9F7FBCC74E6}"/>
  <tableColumns count="8">
    <tableColumn id="9" xr3:uid="{68315715-B50A-46F5-BF1E-689BBB1896AE}" name="産業大分類" totalsRowLabel="合計" totalsRowDxfId="797"/>
    <tableColumn id="10" xr3:uid="{902AC15C-4995-46D1-A285-3961A68756EC}" name="総数／事業所数" totalsRowFunction="custom" totalsRowDxfId="796" dataCellStyle="桁区切り" totalsRowCellStyle="桁区切り">
      <totalsRowFormula>SUM(LTBL_13107[総数／事業所数])</totalsRowFormula>
    </tableColumn>
    <tableColumn id="11" xr3:uid="{3EB774BC-7031-4AFD-B49C-A4D6F72F2265}" name="総数／構成比" dataDxfId="795"/>
    <tableColumn id="12" xr3:uid="{579FF54B-E5C4-42ED-93AF-E4B40E8FE586}" name="個人／事業所数" totalsRowFunction="sum" totalsRowDxfId="794" dataCellStyle="桁区切り" totalsRowCellStyle="桁区切り"/>
    <tableColumn id="13" xr3:uid="{9E4AD6AC-ED2C-4E75-82AB-1BF9E802A19A}" name="個人／構成比" dataDxfId="793"/>
    <tableColumn id="14" xr3:uid="{D1DF1E5E-204C-4FCE-AB45-BA44573EDC78}" name="法人／事業所数" totalsRowFunction="sum" totalsRowDxfId="792" dataCellStyle="桁区切り" totalsRowCellStyle="桁区切り"/>
    <tableColumn id="15" xr3:uid="{64C07B63-DFB6-4863-BBAC-C24EDB68AABC}" name="法人／構成比" dataDxfId="791"/>
    <tableColumn id="16" xr3:uid="{28DE0242-18EA-4DF9-915E-AE6B8D8F65E3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8040459-0736-4D9C-BF80-E6AD105811EC}" name="M_TABLE_13107" displayName="M_TABLE_13107" ref="B23:I43" totalsRowShown="0">
  <autoFilter ref="B23:I43" xr:uid="{08040459-0736-4D9C-BF80-E6AD105811EC}"/>
  <tableColumns count="8">
    <tableColumn id="9" xr3:uid="{E4F549D9-FB00-41E9-9FD5-15F6DE380853}" name="産業中分類上位２０"/>
    <tableColumn id="10" xr3:uid="{24011506-91CE-45B1-BA17-F86CD7D70EA8}" name="総数／事業所数" dataCellStyle="桁区切り"/>
    <tableColumn id="11" xr3:uid="{D8A3284B-68AD-4001-8A99-B62B1FBA08E1}" name="総数／構成比" dataDxfId="789"/>
    <tableColumn id="12" xr3:uid="{46949998-23CD-4FBE-96E4-7937F2FD3E6A}" name="個人／事業所数" dataCellStyle="桁区切り"/>
    <tableColumn id="13" xr3:uid="{6D42B436-CA68-4889-A4B9-FAB98C1FF354}" name="個人／構成比" dataDxfId="788"/>
    <tableColumn id="14" xr3:uid="{EDEFBB07-8DC3-4F4B-8331-F2D6FD6B2DCF}" name="法人／事業所数" dataCellStyle="桁区切り"/>
    <tableColumn id="15" xr3:uid="{B1ADDE1B-0264-4ADF-837D-B06A58373216}" name="法人／構成比" dataDxfId="787"/>
    <tableColumn id="16" xr3:uid="{81F31912-CCC6-44C3-AF14-6619F7AFE388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15ACC1F-5CC3-43D2-9C31-BCCCABC30B96}" name="S_TABLE_13107" displayName="S_TABLE_13107" ref="B46:I66" totalsRowShown="0">
  <autoFilter ref="B46:I66" xr:uid="{B15ACC1F-5CC3-43D2-9C31-BCCCABC30B96}"/>
  <tableColumns count="8">
    <tableColumn id="9" xr3:uid="{DEAA4EC2-7578-4498-B6BF-3FE79E9A3CA4}" name="産業小分類上位２０"/>
    <tableColumn id="10" xr3:uid="{54631563-D2B3-4467-97E9-8333277F7F8C}" name="総数／事業所数" dataCellStyle="桁区切り"/>
    <tableColumn id="11" xr3:uid="{383AE34B-0CFE-44AE-810C-DABE9FE47A85}" name="総数／構成比" dataDxfId="786"/>
    <tableColumn id="12" xr3:uid="{F3CF772A-7691-4641-9A93-FD6FA7E785D8}" name="個人／事業所数" dataCellStyle="桁区切り"/>
    <tableColumn id="13" xr3:uid="{23E2AE3E-49D2-4D79-BACD-E41EF957CD34}" name="個人／構成比" dataDxfId="785"/>
    <tableColumn id="14" xr3:uid="{8931E2B2-D898-428C-B1AF-F0CC36E5948E}" name="法人／事業所数" dataCellStyle="桁区切り"/>
    <tableColumn id="15" xr3:uid="{B00A1026-2FDA-4AE3-9C2F-04983E4D3F8E}" name="法人／構成比" dataDxfId="784"/>
    <tableColumn id="16" xr3:uid="{C967FF39-46F4-41C2-AAFE-4F42D08A9245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9391A17-4B83-4511-B7BB-30A2936BDB51}" name="LTBL_13108" displayName="LTBL_13108" ref="B4:I20" totalsRowCount="1">
  <autoFilter ref="B4:I19" xr:uid="{19391A17-4B83-4511-B7BB-30A2936BDB51}"/>
  <tableColumns count="8">
    <tableColumn id="9" xr3:uid="{CBB9C348-AF6E-4297-A8E2-0C5E880769FC}" name="産業大分類" totalsRowLabel="合計" totalsRowDxfId="783"/>
    <tableColumn id="10" xr3:uid="{E137D66D-CDCD-470C-AC10-F3E5A8EC8AF6}" name="総数／事業所数" totalsRowFunction="custom" totalsRowDxfId="782" dataCellStyle="桁区切り" totalsRowCellStyle="桁区切り">
      <totalsRowFormula>SUM(LTBL_13108[総数／事業所数])</totalsRowFormula>
    </tableColumn>
    <tableColumn id="11" xr3:uid="{7E55CECC-61EF-4B8F-98F7-A8560EAE7680}" name="総数／構成比" dataDxfId="781"/>
    <tableColumn id="12" xr3:uid="{42B262A1-02C1-4CB6-B80D-E65DA0DBCF85}" name="個人／事業所数" totalsRowFunction="sum" totalsRowDxfId="780" dataCellStyle="桁区切り" totalsRowCellStyle="桁区切り"/>
    <tableColumn id="13" xr3:uid="{BF8FE9CC-A9E8-4E10-B974-A0B3AF3C6884}" name="個人／構成比" dataDxfId="779"/>
    <tableColumn id="14" xr3:uid="{59A6908F-FAF1-4564-9458-BC236697F850}" name="法人／事業所数" totalsRowFunction="sum" totalsRowDxfId="778" dataCellStyle="桁区切り" totalsRowCellStyle="桁区切り"/>
    <tableColumn id="15" xr3:uid="{10244F88-473A-4FFA-9D86-D3A77C8DAE36}" name="法人／構成比" dataDxfId="777"/>
    <tableColumn id="16" xr3:uid="{5FAD66DC-4C62-4E88-840C-B1CFFDE03C4F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4795735-D667-4735-A15A-60C541F0D959}" name="M_TABLE_13108" displayName="M_TABLE_13108" ref="B23:I43" totalsRowShown="0">
  <autoFilter ref="B23:I43" xr:uid="{84795735-D667-4735-A15A-60C541F0D959}"/>
  <tableColumns count="8">
    <tableColumn id="9" xr3:uid="{2FCE528C-A639-4C46-A67C-E3E177CDC073}" name="産業中分類上位２０"/>
    <tableColumn id="10" xr3:uid="{886741D9-1F56-427A-ABC9-DCDBA96285FF}" name="総数／事業所数" dataCellStyle="桁区切り"/>
    <tableColumn id="11" xr3:uid="{C3088BF0-D705-4FDC-A4F9-0CFEE40A2818}" name="総数／構成比" dataDxfId="775"/>
    <tableColumn id="12" xr3:uid="{7139ECDD-B99B-4724-94E6-0520648F63F3}" name="個人／事業所数" dataCellStyle="桁区切り"/>
    <tableColumn id="13" xr3:uid="{61BAAEF2-F57A-467B-8E6F-0506E9ED6FF9}" name="個人／構成比" dataDxfId="774"/>
    <tableColumn id="14" xr3:uid="{EA69F1D3-48BA-4011-BC85-D5075222CE71}" name="法人／事業所数" dataCellStyle="桁区切り"/>
    <tableColumn id="15" xr3:uid="{6CF43AD0-98BB-4A3E-913A-DE8A5353C21E}" name="法人／構成比" dataDxfId="773"/>
    <tableColumn id="16" xr3:uid="{B068F6B2-9075-4C89-BD8E-74C54D08A14B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07E958-FC9A-4BF3-91E9-C0F0445D51BC}" name="S_TABLE_13000" displayName="S_TABLE_13000" ref="B46:I66" totalsRowShown="0">
  <autoFilter ref="B46:I66" xr:uid="{2607E958-FC9A-4BF3-91E9-C0F0445D51BC}"/>
  <tableColumns count="8">
    <tableColumn id="9" xr3:uid="{01E1BB2D-60D9-4B7C-9152-31CD60D7F601}" name="産業小分類上位２０"/>
    <tableColumn id="10" xr3:uid="{04798552-ACF4-4457-8A6F-4A9C1D5CC788}" name="総数／事業所数" dataCellStyle="桁区切り"/>
    <tableColumn id="11" xr3:uid="{DBCDDD48-2A4C-416D-8A7B-409D1DBBFADA}" name="総数／構成比" dataDxfId="898"/>
    <tableColumn id="12" xr3:uid="{3132C123-DC1F-4E7F-B3A7-49083186A295}" name="個人／事業所数" dataCellStyle="桁区切り"/>
    <tableColumn id="13" xr3:uid="{B40BA524-A756-43AB-BB91-9616499FADA0}" name="個人／構成比" dataDxfId="897"/>
    <tableColumn id="14" xr3:uid="{F382B3CD-FBD8-4287-A588-6DADE790AE40}" name="法人／事業所数" dataCellStyle="桁区切り"/>
    <tableColumn id="15" xr3:uid="{F8961891-33E0-4084-B5A5-705D888F09CE}" name="法人／構成比" dataDxfId="896"/>
    <tableColumn id="16" xr3:uid="{AEF2764C-35BC-4281-A8D6-A3466951EE94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5137FE9-6589-4C55-B2E0-C697B73C2E68}" name="S_TABLE_13108" displayName="S_TABLE_13108" ref="B46:I66" totalsRowShown="0">
  <autoFilter ref="B46:I66" xr:uid="{C5137FE9-6589-4C55-B2E0-C697B73C2E68}"/>
  <tableColumns count="8">
    <tableColumn id="9" xr3:uid="{17588A8F-64C9-486E-9C60-C127EAF9B76E}" name="産業小分類上位２０"/>
    <tableColumn id="10" xr3:uid="{16EDF3FF-083F-4C57-8ECC-24ABD3E64899}" name="総数／事業所数" dataCellStyle="桁区切り"/>
    <tableColumn id="11" xr3:uid="{580BCE62-D5E3-4582-BA45-FEB0A85F47C6}" name="総数／構成比" dataDxfId="772"/>
    <tableColumn id="12" xr3:uid="{756635D1-4826-4143-A35C-E4785F76DC97}" name="個人／事業所数" dataCellStyle="桁区切り"/>
    <tableColumn id="13" xr3:uid="{182006A5-0977-41A3-ACEE-9B796031F408}" name="個人／構成比" dataDxfId="771"/>
    <tableColumn id="14" xr3:uid="{7A2E594C-5A7C-4941-8A53-681FDB24CC91}" name="法人／事業所数" dataCellStyle="桁区切り"/>
    <tableColumn id="15" xr3:uid="{189DBC48-C0B2-4812-84BC-F16C63E46879}" name="法人／構成比" dataDxfId="770"/>
    <tableColumn id="16" xr3:uid="{2B0D8DDC-9368-4C6C-8483-506CE4ECF635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F6328D1-DBF6-48E2-92C4-294F15B588F4}" name="LTBL_13109" displayName="LTBL_13109" ref="B4:I20" totalsRowCount="1">
  <autoFilter ref="B4:I19" xr:uid="{CF6328D1-DBF6-48E2-92C4-294F15B588F4}"/>
  <tableColumns count="8">
    <tableColumn id="9" xr3:uid="{A9E29C97-182C-4DB2-83C6-566C2B347017}" name="産業大分類" totalsRowLabel="合計" totalsRowDxfId="769"/>
    <tableColumn id="10" xr3:uid="{5C8FAC84-1910-4F93-AF2A-631CDBD73B62}" name="総数／事業所数" totalsRowFunction="custom" totalsRowDxfId="768" dataCellStyle="桁区切り" totalsRowCellStyle="桁区切り">
      <totalsRowFormula>SUM(LTBL_13109[総数／事業所数])</totalsRowFormula>
    </tableColumn>
    <tableColumn id="11" xr3:uid="{8401EE6C-3D60-4715-A7AC-2D62A283E2C4}" name="総数／構成比" dataDxfId="767"/>
    <tableColumn id="12" xr3:uid="{9CA256E8-8B3A-4244-88B6-C4655A21E10F}" name="個人／事業所数" totalsRowFunction="sum" totalsRowDxfId="766" dataCellStyle="桁区切り" totalsRowCellStyle="桁区切り"/>
    <tableColumn id="13" xr3:uid="{6159D51B-6371-49B0-8F3D-545F6A45A197}" name="個人／構成比" dataDxfId="765"/>
    <tableColumn id="14" xr3:uid="{1C950F73-C426-4BFC-AD4F-06153E6ED99E}" name="法人／事業所数" totalsRowFunction="sum" totalsRowDxfId="764" dataCellStyle="桁区切り" totalsRowCellStyle="桁区切り"/>
    <tableColumn id="15" xr3:uid="{A9D7B2A1-1A04-4748-BADC-483696D87038}" name="法人／構成比" dataDxfId="763"/>
    <tableColumn id="16" xr3:uid="{88B98B96-C2FC-4A3D-863B-F24BFD3D24D3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867A34C-BFDB-4F57-8036-F252F7D9BBD9}" name="M_TABLE_13109" displayName="M_TABLE_13109" ref="B23:I43" totalsRowShown="0">
  <autoFilter ref="B23:I43" xr:uid="{B867A34C-BFDB-4F57-8036-F252F7D9BBD9}"/>
  <tableColumns count="8">
    <tableColumn id="9" xr3:uid="{81A25D18-87F6-4BB3-8235-44314B6C3BCF}" name="産業中分類上位２０"/>
    <tableColumn id="10" xr3:uid="{186092C4-69FF-44CF-8FCA-C4841EEE131C}" name="総数／事業所数" dataCellStyle="桁区切り"/>
    <tableColumn id="11" xr3:uid="{B9E3557B-EEC3-435B-9A06-1202BA4105B8}" name="総数／構成比" dataDxfId="761"/>
    <tableColumn id="12" xr3:uid="{66D997DA-44B5-47FA-9B50-7A9EBA5162FB}" name="個人／事業所数" dataCellStyle="桁区切り"/>
    <tableColumn id="13" xr3:uid="{A58F57DE-C22D-453D-BFA3-CA2ECC51D8CB}" name="個人／構成比" dataDxfId="760"/>
    <tableColumn id="14" xr3:uid="{2E2D8B6C-ABB5-4FE7-BCF0-BF021065A8F4}" name="法人／事業所数" dataCellStyle="桁区切り"/>
    <tableColumn id="15" xr3:uid="{C5D58E1C-5F79-4EDD-A677-A29E93D52957}" name="法人／構成比" dataDxfId="759"/>
    <tableColumn id="16" xr3:uid="{A6DC7F7D-633D-48F9-A573-730B490694AC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513AC4E-490C-4808-8056-D8E994B427A0}" name="S_TABLE_13109" displayName="S_TABLE_13109" ref="B46:I66" totalsRowShown="0">
  <autoFilter ref="B46:I66" xr:uid="{4513AC4E-490C-4808-8056-D8E994B427A0}"/>
  <tableColumns count="8">
    <tableColumn id="9" xr3:uid="{171BA9B2-B572-49D7-B827-9CF422376C82}" name="産業小分類上位２０"/>
    <tableColumn id="10" xr3:uid="{30101144-8426-4564-8E3F-1A68D047E93F}" name="総数／事業所数" dataCellStyle="桁区切り"/>
    <tableColumn id="11" xr3:uid="{8D821CCF-7C49-4EC6-949C-B0035E66A802}" name="総数／構成比" dataDxfId="758"/>
    <tableColumn id="12" xr3:uid="{300705CD-152F-4E77-B31A-B27BEF65024B}" name="個人／事業所数" dataCellStyle="桁区切り"/>
    <tableColumn id="13" xr3:uid="{045146CE-C1C7-4E96-9B5E-11E2675F1D8C}" name="個人／構成比" dataDxfId="757"/>
    <tableColumn id="14" xr3:uid="{90F0EFEB-3D89-409E-8114-AFFF1A2462AC}" name="法人／事業所数" dataCellStyle="桁区切り"/>
    <tableColumn id="15" xr3:uid="{6D75EA1C-EACA-43B6-8CF3-4833AEE730D9}" name="法人／構成比" dataDxfId="756"/>
    <tableColumn id="16" xr3:uid="{EE02DEFF-DE0D-45C6-9205-F21074DFFA95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487F732-D21C-469C-8AEF-DF1EE0F525E4}" name="LTBL_13110" displayName="LTBL_13110" ref="B4:I20" totalsRowCount="1">
  <autoFilter ref="B4:I19" xr:uid="{F487F732-D21C-469C-8AEF-DF1EE0F525E4}"/>
  <tableColumns count="8">
    <tableColumn id="9" xr3:uid="{F1D41ADB-F5EB-4903-A241-9F55AA65B85C}" name="産業大分類" totalsRowLabel="合計" totalsRowDxfId="755"/>
    <tableColumn id="10" xr3:uid="{6C404C90-FE27-4332-A8AC-BE5F38FC5B87}" name="総数／事業所数" totalsRowFunction="custom" totalsRowDxfId="754" dataCellStyle="桁区切り" totalsRowCellStyle="桁区切り">
      <totalsRowFormula>SUM(LTBL_13110[総数／事業所数])</totalsRowFormula>
    </tableColumn>
    <tableColumn id="11" xr3:uid="{A9EFAE6A-ADFB-4474-9FF7-7078CB9E38D6}" name="総数／構成比" dataDxfId="753"/>
    <tableColumn id="12" xr3:uid="{39EF3854-341B-46D3-B72B-3F7BFA4F1542}" name="個人／事業所数" totalsRowFunction="sum" totalsRowDxfId="752" dataCellStyle="桁区切り" totalsRowCellStyle="桁区切り"/>
    <tableColumn id="13" xr3:uid="{2BA20908-985F-4A2A-B7BC-4FEBDA06DFBB}" name="個人／構成比" dataDxfId="751"/>
    <tableColumn id="14" xr3:uid="{F3DF7720-D6AE-4AB9-9CEF-E2B90CD7F520}" name="法人／事業所数" totalsRowFunction="sum" totalsRowDxfId="750" dataCellStyle="桁区切り" totalsRowCellStyle="桁区切り"/>
    <tableColumn id="15" xr3:uid="{DB12905B-579A-44C1-A775-42F32423AA0B}" name="法人／構成比" dataDxfId="749"/>
    <tableColumn id="16" xr3:uid="{EC00DA08-558E-424A-8AA7-61AAAF7A9814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A98F6A8-C9BE-45D4-ABE1-E37CA29D7130}" name="M_TABLE_13110" displayName="M_TABLE_13110" ref="B23:I43" totalsRowShown="0">
  <autoFilter ref="B23:I43" xr:uid="{DA98F6A8-C9BE-45D4-ABE1-E37CA29D7130}"/>
  <tableColumns count="8">
    <tableColumn id="9" xr3:uid="{CEE600A7-DE6A-4D6B-A065-B8A44FEC06C8}" name="産業中分類上位２０"/>
    <tableColumn id="10" xr3:uid="{C2BA9AE5-1229-4E2D-9022-7A8134049B8A}" name="総数／事業所数" dataCellStyle="桁区切り"/>
    <tableColumn id="11" xr3:uid="{8EFF0CE4-0EDA-4EED-983D-44BC35F02420}" name="総数／構成比" dataDxfId="747"/>
    <tableColumn id="12" xr3:uid="{027F2195-C78C-499A-B23D-06C3FE155736}" name="個人／事業所数" dataCellStyle="桁区切り"/>
    <tableColumn id="13" xr3:uid="{A292C2F7-ECF9-49CA-BC77-5E9A8AA4C245}" name="個人／構成比" dataDxfId="746"/>
    <tableColumn id="14" xr3:uid="{1B7A06EF-9B80-4BEB-AEBA-C32F4CDE80A8}" name="法人／事業所数" dataCellStyle="桁区切り"/>
    <tableColumn id="15" xr3:uid="{20D56774-1A4A-4287-ADDA-262D3FDA2C45}" name="法人／構成比" dataDxfId="745"/>
    <tableColumn id="16" xr3:uid="{60E7F428-FFFC-48AA-BA42-8C68F9D7A802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D198F82-2C1A-4442-81D9-661D7FC8F146}" name="S_TABLE_13110" displayName="S_TABLE_13110" ref="B46:I67" totalsRowShown="0">
  <autoFilter ref="B46:I67" xr:uid="{BD198F82-2C1A-4442-81D9-661D7FC8F146}"/>
  <tableColumns count="8">
    <tableColumn id="9" xr3:uid="{69963DA4-F0B4-4487-B346-09B281402765}" name="産業小分類上位２０"/>
    <tableColumn id="10" xr3:uid="{4681EA13-FED2-4524-98B3-24F8A1742CAC}" name="総数／事業所数" dataCellStyle="桁区切り"/>
    <tableColumn id="11" xr3:uid="{BE816EBB-BC56-4F01-95B6-BDEA0E796664}" name="総数／構成比" dataDxfId="744"/>
    <tableColumn id="12" xr3:uid="{265FCF34-7CB8-41DA-8328-CB9BA0A5B094}" name="個人／事業所数" dataCellStyle="桁区切り"/>
    <tableColumn id="13" xr3:uid="{A2B96276-9A53-40B3-B7E5-35F9CB17CB93}" name="個人／構成比" dataDxfId="743"/>
    <tableColumn id="14" xr3:uid="{10A9BE9B-2DD2-46D7-A4EE-FF0BD8F7CA81}" name="法人／事業所数" dataCellStyle="桁区切り"/>
    <tableColumn id="15" xr3:uid="{7D38861E-93AB-42CA-BB0F-19B07CC3FBE1}" name="法人／構成比" dataDxfId="742"/>
    <tableColumn id="16" xr3:uid="{F73E34F0-E900-4ADD-82D6-5595687F1730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9CEC85B-7A1E-44CE-8876-D9B09C5F7CA8}" name="LTBL_13111" displayName="LTBL_13111" ref="B4:I20" totalsRowCount="1">
  <autoFilter ref="B4:I19" xr:uid="{F9CEC85B-7A1E-44CE-8876-D9B09C5F7CA8}"/>
  <tableColumns count="8">
    <tableColumn id="9" xr3:uid="{E93EFF7B-40D8-44E6-BF93-8123AB494E77}" name="産業大分類" totalsRowLabel="合計" totalsRowDxfId="741"/>
    <tableColumn id="10" xr3:uid="{42E99FEE-181F-4CB2-BFF5-19D7E90244CB}" name="総数／事業所数" totalsRowFunction="custom" totalsRowDxfId="740" dataCellStyle="桁区切り" totalsRowCellStyle="桁区切り">
      <totalsRowFormula>SUM(LTBL_13111[総数／事業所数])</totalsRowFormula>
    </tableColumn>
    <tableColumn id="11" xr3:uid="{F9597FDC-FD9B-4621-B234-FFCA4BDD259F}" name="総数／構成比" dataDxfId="739"/>
    <tableColumn id="12" xr3:uid="{9889E2C8-741F-4499-BB67-C51082347F8F}" name="個人／事業所数" totalsRowFunction="sum" totalsRowDxfId="738" dataCellStyle="桁区切り" totalsRowCellStyle="桁区切り"/>
    <tableColumn id="13" xr3:uid="{F70A98D1-5AE5-4FCA-B2E4-69CC7DB95FA0}" name="個人／構成比" dataDxfId="737"/>
    <tableColumn id="14" xr3:uid="{0EA69764-85FC-4437-9212-D72B023FBBCF}" name="法人／事業所数" totalsRowFunction="sum" totalsRowDxfId="736" dataCellStyle="桁区切り" totalsRowCellStyle="桁区切り"/>
    <tableColumn id="15" xr3:uid="{206D1837-D42A-4516-9438-447B91CE9731}" name="法人／構成比" dataDxfId="735"/>
    <tableColumn id="16" xr3:uid="{00DE827D-1F96-4CF1-B51F-918A0A16EA2A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46A38CF-43D6-4F3B-8504-613B6E184C07}" name="M_TABLE_13111" displayName="M_TABLE_13111" ref="B23:I43" totalsRowShown="0">
  <autoFilter ref="B23:I43" xr:uid="{F46A38CF-43D6-4F3B-8504-613B6E184C07}"/>
  <tableColumns count="8">
    <tableColumn id="9" xr3:uid="{33370491-D626-4C1A-BD3E-045AEF3622CF}" name="産業中分類上位２０"/>
    <tableColumn id="10" xr3:uid="{10CE7CC8-7F78-4FDD-8F9C-950CEE04F4F3}" name="総数／事業所数" dataCellStyle="桁区切り"/>
    <tableColumn id="11" xr3:uid="{D576AB29-D322-4187-8F8F-3FBD0399FDCC}" name="総数／構成比" dataDxfId="733"/>
    <tableColumn id="12" xr3:uid="{0FB805B7-119F-4676-B104-3819E4030595}" name="個人／事業所数" dataCellStyle="桁区切り"/>
    <tableColumn id="13" xr3:uid="{749A1FF5-76BC-4325-91AD-C513C39A0D27}" name="個人／構成比" dataDxfId="732"/>
    <tableColumn id="14" xr3:uid="{F21C602F-D07B-405E-BCC6-706D8A29393F}" name="法人／事業所数" dataCellStyle="桁区切り"/>
    <tableColumn id="15" xr3:uid="{21D76036-5A5C-4D8D-8C8C-A1D72A02DCAD}" name="法人／構成比" dataDxfId="731"/>
    <tableColumn id="16" xr3:uid="{8A3E54F5-35D2-4E22-AC8F-930AE8A4D9F2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BDEC92B-ACA6-4FC0-BE89-978B661C6F3A}" name="S_TABLE_13111" displayName="S_TABLE_13111" ref="B46:I66" totalsRowShown="0">
  <autoFilter ref="B46:I66" xr:uid="{DBDEC92B-ACA6-4FC0-BE89-978B661C6F3A}"/>
  <tableColumns count="8">
    <tableColumn id="9" xr3:uid="{D5985785-3E83-404A-BE0D-9A7B7EC7AB17}" name="産業小分類上位２０"/>
    <tableColumn id="10" xr3:uid="{92C8FCAC-1EE3-4AED-A142-081493EC9A7F}" name="総数／事業所数" dataCellStyle="桁区切り"/>
    <tableColumn id="11" xr3:uid="{02C4F2CC-EADD-4F5C-8246-D30B7379DCC1}" name="総数／構成比" dataDxfId="730"/>
    <tableColumn id="12" xr3:uid="{7E5A0EBD-AA48-46D6-84D1-2AE3D988B97B}" name="個人／事業所数" dataCellStyle="桁区切り"/>
    <tableColumn id="13" xr3:uid="{784E342A-93C7-42FD-85F6-098847EDC0F1}" name="個人／構成比" dataDxfId="729"/>
    <tableColumn id="14" xr3:uid="{5BDAA670-39A1-41E8-A087-81A70BBC70C5}" name="法人／事業所数" dataCellStyle="桁区切り"/>
    <tableColumn id="15" xr3:uid="{58A7616B-A05D-4799-847B-70A902C1037B}" name="法人／構成比" dataDxfId="728"/>
    <tableColumn id="16" xr3:uid="{7987F9C1-B18F-4496-81DD-5D9F4DCBE68A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C193B6-5E15-44AF-90F4-DC3416E12013}" name="LTBL_13100" displayName="LTBL_13100" ref="B4:I20" totalsRowCount="1">
  <autoFilter ref="B4:I19" xr:uid="{F3C193B6-5E15-44AF-90F4-DC3416E12013}"/>
  <tableColumns count="8">
    <tableColumn id="9" xr3:uid="{712D3E1C-97CD-4B79-891D-3C03B927DE0D}" name="産業大分類" totalsRowLabel="合計" totalsRowDxfId="895"/>
    <tableColumn id="10" xr3:uid="{EDE37743-9CE8-4EC3-8176-3FB9D5394BE5}" name="総数／事業所数" totalsRowFunction="custom" totalsRowDxfId="894" dataCellStyle="桁区切り" totalsRowCellStyle="桁区切り">
      <totalsRowFormula>SUM(LTBL_13100[総数／事業所数])</totalsRowFormula>
    </tableColumn>
    <tableColumn id="11" xr3:uid="{0ADFD080-617F-49A7-8E44-837D224F31EC}" name="総数／構成比" dataDxfId="893"/>
    <tableColumn id="12" xr3:uid="{4800861E-818B-4C62-8EFB-DBC10D881858}" name="個人／事業所数" totalsRowFunction="sum" totalsRowDxfId="892" dataCellStyle="桁区切り" totalsRowCellStyle="桁区切り"/>
    <tableColumn id="13" xr3:uid="{65CF5AC8-68FC-402F-9078-AFA36FDBB4E0}" name="個人／構成比" dataDxfId="891"/>
    <tableColumn id="14" xr3:uid="{81EA8F0F-1D7C-4226-B63D-110A6545E0B1}" name="法人／事業所数" totalsRowFunction="sum" totalsRowDxfId="890" dataCellStyle="桁区切り" totalsRowCellStyle="桁区切り"/>
    <tableColumn id="15" xr3:uid="{539E0DA8-9DD4-4F49-A8FD-0453248066D6}" name="法人／構成比" dataDxfId="889"/>
    <tableColumn id="16" xr3:uid="{527969C3-2110-4489-855C-DAC38742DBC0}" name="法人以外の団体／事業所数" totalsRowFunction="sum" totalsRowDxfId="88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9E56430-5187-4B84-A1DE-8A072EB474CD}" name="LTBL_13112" displayName="LTBL_13112" ref="B4:I20" totalsRowCount="1">
  <autoFilter ref="B4:I19" xr:uid="{09E56430-5187-4B84-A1DE-8A072EB474CD}"/>
  <tableColumns count="8">
    <tableColumn id="9" xr3:uid="{E71A2504-658E-457C-AFA3-DCD6ADB717A7}" name="産業大分類" totalsRowLabel="合計" totalsRowDxfId="727"/>
    <tableColumn id="10" xr3:uid="{5A7104CA-5AE3-4259-82BF-FBD641D1B84E}" name="総数／事業所数" totalsRowFunction="custom" totalsRowDxfId="726" dataCellStyle="桁区切り" totalsRowCellStyle="桁区切り">
      <totalsRowFormula>SUM(LTBL_13112[総数／事業所数])</totalsRowFormula>
    </tableColumn>
    <tableColumn id="11" xr3:uid="{6E251DD5-4977-47CE-BC17-C519E5DA8327}" name="総数／構成比" dataDxfId="725"/>
    <tableColumn id="12" xr3:uid="{6ECF253F-303A-4977-8ABD-80BA7163FAAD}" name="個人／事業所数" totalsRowFunction="sum" totalsRowDxfId="724" dataCellStyle="桁区切り" totalsRowCellStyle="桁区切り"/>
    <tableColumn id="13" xr3:uid="{F66B719E-84C9-4797-85B5-275BC35FED12}" name="個人／構成比" dataDxfId="723"/>
    <tableColumn id="14" xr3:uid="{F68B2CCC-A8E3-4B5F-B84E-37B82A810AB8}" name="法人／事業所数" totalsRowFunction="sum" totalsRowDxfId="722" dataCellStyle="桁区切り" totalsRowCellStyle="桁区切り"/>
    <tableColumn id="15" xr3:uid="{8B374D2D-55F1-479D-B48C-4396A595F2AB}" name="法人／構成比" dataDxfId="721"/>
    <tableColumn id="16" xr3:uid="{45948A98-71D3-4A76-AA7F-65BA72762334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61FF42F-8EE2-4122-AD70-A9533B7DE4D0}" name="M_TABLE_13112" displayName="M_TABLE_13112" ref="B23:I43" totalsRowShown="0">
  <autoFilter ref="B23:I43" xr:uid="{061FF42F-8EE2-4122-AD70-A9533B7DE4D0}"/>
  <tableColumns count="8">
    <tableColumn id="9" xr3:uid="{C598FF66-3B65-42FB-B307-8688D7DFEAE6}" name="産業中分類上位２０"/>
    <tableColumn id="10" xr3:uid="{05D3A318-6702-437C-8CD6-77738705280F}" name="総数／事業所数" dataCellStyle="桁区切り"/>
    <tableColumn id="11" xr3:uid="{EEACBE09-48EA-40CD-A628-329AD24C78E9}" name="総数／構成比" dataDxfId="719"/>
    <tableColumn id="12" xr3:uid="{98CA36A9-DCA9-4367-8844-4A9108C2D63D}" name="個人／事業所数" dataCellStyle="桁区切り"/>
    <tableColumn id="13" xr3:uid="{EAB5392F-918F-42B5-9447-D4D1EDFBBA5B}" name="個人／構成比" dataDxfId="718"/>
    <tableColumn id="14" xr3:uid="{493D6E32-BBB7-4DD4-A697-F2B9F48D3FA8}" name="法人／事業所数" dataCellStyle="桁区切り"/>
    <tableColumn id="15" xr3:uid="{7028871E-20E8-4784-B13A-550FFABA0C7B}" name="法人／構成比" dataDxfId="717"/>
    <tableColumn id="16" xr3:uid="{6B1DC52C-D554-4CC9-A60E-A0996EE5B593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AE833F0-462F-4B21-B980-075ECECEC6EB}" name="S_TABLE_13112" displayName="S_TABLE_13112" ref="B46:I66" totalsRowShown="0">
  <autoFilter ref="B46:I66" xr:uid="{2AE833F0-462F-4B21-B980-075ECECEC6EB}"/>
  <tableColumns count="8">
    <tableColumn id="9" xr3:uid="{07BD1E8B-4368-483C-A2EB-E5D41FF69F32}" name="産業小分類上位２０"/>
    <tableColumn id="10" xr3:uid="{3D17A92B-8C52-4344-A9F4-1206FAD175EA}" name="総数／事業所数" dataCellStyle="桁区切り"/>
    <tableColumn id="11" xr3:uid="{7D553675-8EBD-49C9-A850-66F7C62C585B}" name="総数／構成比" dataDxfId="716"/>
    <tableColumn id="12" xr3:uid="{4D2E4BEA-909D-4979-82C8-A1B7318998AD}" name="個人／事業所数" dataCellStyle="桁区切り"/>
    <tableColumn id="13" xr3:uid="{3EDD9EAE-8223-43BF-9F6F-8243C992AA12}" name="個人／構成比" dataDxfId="715"/>
    <tableColumn id="14" xr3:uid="{FBACDDC0-5E45-469A-99AE-4F07FFBAB38E}" name="法人／事業所数" dataCellStyle="桁区切り"/>
    <tableColumn id="15" xr3:uid="{64C0EF99-B5C0-4A5A-97E3-C2B8AA9B05C1}" name="法人／構成比" dataDxfId="714"/>
    <tableColumn id="16" xr3:uid="{D446D178-21E0-4506-98B4-E279D8C2067A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3DC52E3-2210-4DD4-8ECE-65209E193CD9}" name="LTBL_13113" displayName="LTBL_13113" ref="B4:I20" totalsRowCount="1">
  <autoFilter ref="B4:I19" xr:uid="{93DC52E3-2210-4DD4-8ECE-65209E193CD9}"/>
  <tableColumns count="8">
    <tableColumn id="9" xr3:uid="{86A9F4EE-B130-4B89-A26B-CDBF63AC8EF7}" name="産業大分類" totalsRowLabel="合計" totalsRowDxfId="713"/>
    <tableColumn id="10" xr3:uid="{14FDAC0D-1306-4206-81F2-E6EF04CE57B7}" name="総数／事業所数" totalsRowFunction="custom" totalsRowDxfId="712" dataCellStyle="桁区切り" totalsRowCellStyle="桁区切り">
      <totalsRowFormula>SUM(LTBL_13113[総数／事業所数])</totalsRowFormula>
    </tableColumn>
    <tableColumn id="11" xr3:uid="{A9947A9A-FBC3-477C-B487-EE44C0F6DB1D}" name="総数／構成比" dataDxfId="711"/>
    <tableColumn id="12" xr3:uid="{D58DA7D4-6377-43E9-BDCB-1091A9FD87B2}" name="個人／事業所数" totalsRowFunction="sum" totalsRowDxfId="710" dataCellStyle="桁区切り" totalsRowCellStyle="桁区切り"/>
    <tableColumn id="13" xr3:uid="{281D444D-03C4-4DF8-9771-663AECBFDCCA}" name="個人／構成比" dataDxfId="709"/>
    <tableColumn id="14" xr3:uid="{F9885933-F989-4947-B00C-F7507581C0DA}" name="法人／事業所数" totalsRowFunction="sum" totalsRowDxfId="708" dataCellStyle="桁区切り" totalsRowCellStyle="桁区切り"/>
    <tableColumn id="15" xr3:uid="{1639718E-9F48-4576-9F77-D63D35B3449B}" name="法人／構成比" dataDxfId="707"/>
    <tableColumn id="16" xr3:uid="{DBF4434F-1847-4D1F-9FBC-C9DD05E5D5AC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FA4D18B-5544-410D-B104-1D5B28B68E08}" name="M_TABLE_13113" displayName="M_TABLE_13113" ref="B23:I43" totalsRowShown="0">
  <autoFilter ref="B23:I43" xr:uid="{5FA4D18B-5544-410D-B104-1D5B28B68E08}"/>
  <tableColumns count="8">
    <tableColumn id="9" xr3:uid="{84868CAD-E7D7-4390-B4B2-A83114CF272B}" name="産業中分類上位２０"/>
    <tableColumn id="10" xr3:uid="{BD49C28F-F684-45EE-989E-444D3EE0105A}" name="総数／事業所数" dataCellStyle="桁区切り"/>
    <tableColumn id="11" xr3:uid="{2FA7E244-BCDF-4DE2-B9FD-6E735228235C}" name="総数／構成比" dataDxfId="705"/>
    <tableColumn id="12" xr3:uid="{815385CF-DA69-423A-8DBD-A9AE3F6EDB79}" name="個人／事業所数" dataCellStyle="桁区切り"/>
    <tableColumn id="13" xr3:uid="{6661F388-8B56-41A3-A824-FAFFED0653AA}" name="個人／構成比" dataDxfId="704"/>
    <tableColumn id="14" xr3:uid="{D7B443FB-ADF6-43B4-BDA6-ED0CD36E89E4}" name="法人／事業所数" dataCellStyle="桁区切り"/>
    <tableColumn id="15" xr3:uid="{9FF519DE-6152-42EA-BA25-422DFCC6BD5C}" name="法人／構成比" dataDxfId="703"/>
    <tableColumn id="16" xr3:uid="{86186FE7-783A-4EFE-9D40-11308A837843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29F3186-56BB-4577-91D4-48BD1F482FF7}" name="S_TABLE_13113" displayName="S_TABLE_13113" ref="B46:I66" totalsRowShown="0">
  <autoFilter ref="B46:I66" xr:uid="{429F3186-56BB-4577-91D4-48BD1F482FF7}"/>
  <tableColumns count="8">
    <tableColumn id="9" xr3:uid="{538D0610-7DA0-4319-B9F8-88D9F0F45283}" name="産業小分類上位２０"/>
    <tableColumn id="10" xr3:uid="{8B1FA26C-6394-4ED7-8834-46568191D7A2}" name="総数／事業所数" dataCellStyle="桁区切り"/>
    <tableColumn id="11" xr3:uid="{32B72CA9-F7C0-4E04-915E-BBB650A2B653}" name="総数／構成比" dataDxfId="702"/>
    <tableColumn id="12" xr3:uid="{15D63D73-F061-4C95-B4E0-25E4ADC25C8D}" name="個人／事業所数" dataCellStyle="桁区切り"/>
    <tableColumn id="13" xr3:uid="{492824A2-D35D-48E0-90C6-26D98AFB2ED9}" name="個人／構成比" dataDxfId="701"/>
    <tableColumn id="14" xr3:uid="{9DA890E3-0013-41B3-9B71-43A018A239DE}" name="法人／事業所数" dataCellStyle="桁区切り"/>
    <tableColumn id="15" xr3:uid="{EE6C2BAD-C725-4D4E-A689-3D835B9F3B48}" name="法人／構成比" dataDxfId="700"/>
    <tableColumn id="16" xr3:uid="{25B07924-A441-4115-BC53-EED5D7381E0A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DC67504-B8DF-4AC4-AF6B-872BCA30E78B}" name="LTBL_13114" displayName="LTBL_13114" ref="B4:I20" totalsRowCount="1">
  <autoFilter ref="B4:I19" xr:uid="{6DC67504-B8DF-4AC4-AF6B-872BCA30E78B}"/>
  <tableColumns count="8">
    <tableColumn id="9" xr3:uid="{A5469B25-6C4C-49DA-BD08-87F62283DDA0}" name="産業大分類" totalsRowLabel="合計" totalsRowDxfId="699"/>
    <tableColumn id="10" xr3:uid="{F72AACF4-3EEB-4D5A-8074-C6C05FEE4DA7}" name="総数／事業所数" totalsRowFunction="custom" totalsRowDxfId="698" dataCellStyle="桁区切り" totalsRowCellStyle="桁区切り">
      <totalsRowFormula>SUM(LTBL_13114[総数／事業所数])</totalsRowFormula>
    </tableColumn>
    <tableColumn id="11" xr3:uid="{AD690377-DF6A-4CE4-B537-B5DC8B1EA552}" name="総数／構成比" dataDxfId="697"/>
    <tableColumn id="12" xr3:uid="{C1A95F40-D96F-476B-BF44-03EB86B99E09}" name="個人／事業所数" totalsRowFunction="sum" totalsRowDxfId="696" dataCellStyle="桁区切り" totalsRowCellStyle="桁区切り"/>
    <tableColumn id="13" xr3:uid="{517A8B9B-327A-49EA-A110-F660FF6BA366}" name="個人／構成比" dataDxfId="695"/>
    <tableColumn id="14" xr3:uid="{97711B4F-25E9-40A7-9A2E-47F1017D3703}" name="法人／事業所数" totalsRowFunction="sum" totalsRowDxfId="694" dataCellStyle="桁区切り" totalsRowCellStyle="桁区切り"/>
    <tableColumn id="15" xr3:uid="{555EACBE-C092-4E26-8980-300C4D51E7B5}" name="法人／構成比" dataDxfId="693"/>
    <tableColumn id="16" xr3:uid="{0DB6C804-888C-4558-9043-5373C0FEDEDD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4078009-512E-4502-9DD0-37C6591776F8}" name="M_TABLE_13114" displayName="M_TABLE_13114" ref="B23:I43" totalsRowShown="0">
  <autoFilter ref="B23:I43" xr:uid="{94078009-512E-4502-9DD0-37C6591776F8}"/>
  <tableColumns count="8">
    <tableColumn id="9" xr3:uid="{DFA39FF0-9C84-407A-9654-F115BF83C5E4}" name="産業中分類上位２０"/>
    <tableColumn id="10" xr3:uid="{876D896C-5FBA-4875-8CEF-7FF5BBE13095}" name="総数／事業所数" dataCellStyle="桁区切り"/>
    <tableColumn id="11" xr3:uid="{54EBE4D2-DA34-4C79-B44D-E15D3430D952}" name="総数／構成比" dataDxfId="691"/>
    <tableColumn id="12" xr3:uid="{AD067273-5FFA-4F80-B9FA-CF9570A7993B}" name="個人／事業所数" dataCellStyle="桁区切り"/>
    <tableColumn id="13" xr3:uid="{4F145C43-3FF6-44E6-9915-AB92E4CA4ECC}" name="個人／構成比" dataDxfId="690"/>
    <tableColumn id="14" xr3:uid="{755DF8FC-A7CA-4C91-8372-2DEF795A2BBF}" name="法人／事業所数" dataCellStyle="桁区切り"/>
    <tableColumn id="15" xr3:uid="{26E5E5DC-389B-4B36-AD8E-F91D037C5832}" name="法人／構成比" dataDxfId="689"/>
    <tableColumn id="16" xr3:uid="{171FF9FD-9FB1-4AAE-8AC9-BF5FC1DF83DB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7E54D19-11A0-47ED-92DC-152FEC66AE5A}" name="S_TABLE_13114" displayName="S_TABLE_13114" ref="B46:I66" totalsRowShown="0">
  <autoFilter ref="B46:I66" xr:uid="{97E54D19-11A0-47ED-92DC-152FEC66AE5A}"/>
  <tableColumns count="8">
    <tableColumn id="9" xr3:uid="{0F1E18EC-DD64-4AE2-AE07-7360D9FAB5F8}" name="産業小分類上位２０"/>
    <tableColumn id="10" xr3:uid="{244241DF-C50F-4059-A84D-C5B99FCA44FB}" name="総数／事業所数" dataCellStyle="桁区切り"/>
    <tableColumn id="11" xr3:uid="{E2A2FB29-4DF7-4871-AD27-0DF560F1A1B0}" name="総数／構成比" dataDxfId="688"/>
    <tableColumn id="12" xr3:uid="{B12C30A0-A1B2-4A40-9C76-9137A099908E}" name="個人／事業所数" dataCellStyle="桁区切り"/>
    <tableColumn id="13" xr3:uid="{48A9ABF5-8A84-41BC-83B2-69A73C71B3F1}" name="個人／構成比" dataDxfId="687"/>
    <tableColumn id="14" xr3:uid="{E933632D-360D-4A1C-952A-CEB92D4EB019}" name="法人／事業所数" dataCellStyle="桁区切り"/>
    <tableColumn id="15" xr3:uid="{A5B81673-868F-4157-A482-5819BA2CAC6E}" name="法人／構成比" dataDxfId="686"/>
    <tableColumn id="16" xr3:uid="{290310A4-E0B2-4164-8E3C-197FEA7B1708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9DD6778-E022-4B3D-A42D-D7C92D5DB363}" name="LTBL_13115" displayName="LTBL_13115" ref="B4:I20" totalsRowCount="1">
  <autoFilter ref="B4:I19" xr:uid="{E9DD6778-E022-4B3D-A42D-D7C92D5DB363}"/>
  <tableColumns count="8">
    <tableColumn id="9" xr3:uid="{CB9B26F8-760D-4472-9F91-BC0EEB59E9B9}" name="産業大分類" totalsRowLabel="合計" totalsRowDxfId="685"/>
    <tableColumn id="10" xr3:uid="{7416DA8C-F864-4196-A385-A4C0724D2162}" name="総数／事業所数" totalsRowFunction="custom" totalsRowDxfId="684" dataCellStyle="桁区切り" totalsRowCellStyle="桁区切り">
      <totalsRowFormula>SUM(LTBL_13115[総数／事業所数])</totalsRowFormula>
    </tableColumn>
    <tableColumn id="11" xr3:uid="{9D7DD6B5-FB8C-4FBB-9C29-0E79BB0E8263}" name="総数／構成比" dataDxfId="683"/>
    <tableColumn id="12" xr3:uid="{3773FE09-3BA4-4FB6-9853-31C25F18FECC}" name="個人／事業所数" totalsRowFunction="sum" totalsRowDxfId="682" dataCellStyle="桁区切り" totalsRowCellStyle="桁区切り"/>
    <tableColumn id="13" xr3:uid="{3C17C027-7415-4448-BC46-AD6645EE57C9}" name="個人／構成比" dataDxfId="681"/>
    <tableColumn id="14" xr3:uid="{C04BF367-EBC5-44CE-B6EC-448261110E6B}" name="法人／事業所数" totalsRowFunction="sum" totalsRowDxfId="680" dataCellStyle="桁区切り" totalsRowCellStyle="桁区切り"/>
    <tableColumn id="15" xr3:uid="{36B662F5-C6ED-4844-9B81-D52E7C494853}" name="法人／構成比" dataDxfId="679"/>
    <tableColumn id="16" xr3:uid="{56B54B12-589C-44F3-8BB8-29600C3F3ED3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6AE917-E942-4546-9A7B-8955BEEB14FD}" name="M_TABLE_13100" displayName="M_TABLE_13100" ref="B23:I43" totalsRowShown="0">
  <autoFilter ref="B23:I43" xr:uid="{DD6AE917-E942-4546-9A7B-8955BEEB14FD}"/>
  <tableColumns count="8">
    <tableColumn id="9" xr3:uid="{0EC32894-36DF-4A99-9E5A-79A88C86BC60}" name="産業中分類上位２０"/>
    <tableColumn id="10" xr3:uid="{5F984BF9-2EE8-414D-B7C4-6D53705893D9}" name="総数／事業所数" dataCellStyle="桁区切り"/>
    <tableColumn id="11" xr3:uid="{588CD6FE-4CD6-4172-8077-CBDFAEB8B55F}" name="総数／構成比" dataDxfId="887"/>
    <tableColumn id="12" xr3:uid="{BA06DD49-3796-49A8-9A07-32DC5524899B}" name="個人／事業所数" dataCellStyle="桁区切り"/>
    <tableColumn id="13" xr3:uid="{8011FC83-6D23-4C1E-8659-D59909AF2EB8}" name="個人／構成比" dataDxfId="886"/>
    <tableColumn id="14" xr3:uid="{739D443C-898D-4073-A1FC-C97E849721DD}" name="法人／事業所数" dataCellStyle="桁区切り"/>
    <tableColumn id="15" xr3:uid="{13DD6DCF-D5D9-454B-8EEB-97CDE0D172F2}" name="法人／構成比" dataDxfId="885"/>
    <tableColumn id="16" xr3:uid="{696AF94F-3A36-4C37-AAF4-EBBC07F3F9EB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9104523-E950-482D-8339-48BEA4FC2722}" name="M_TABLE_13115" displayName="M_TABLE_13115" ref="B23:I43" totalsRowShown="0">
  <autoFilter ref="B23:I43" xr:uid="{A9104523-E950-482D-8339-48BEA4FC2722}"/>
  <tableColumns count="8">
    <tableColumn id="9" xr3:uid="{A13F561E-5474-47AD-9862-F4C070F3D978}" name="産業中分類上位２０"/>
    <tableColumn id="10" xr3:uid="{4C4F1FDA-A7D6-44B0-8128-0BF7F2B298C0}" name="総数／事業所数" dataCellStyle="桁区切り"/>
    <tableColumn id="11" xr3:uid="{B3C84FFB-97E4-49D1-B602-2AB545B3F947}" name="総数／構成比" dataDxfId="677"/>
    <tableColumn id="12" xr3:uid="{807AD576-68A8-47CD-B311-15C4F469BAE1}" name="個人／事業所数" dataCellStyle="桁区切り"/>
    <tableColumn id="13" xr3:uid="{A1B71118-800E-445D-8C88-8A33D0081EC7}" name="個人／構成比" dataDxfId="676"/>
    <tableColumn id="14" xr3:uid="{00A15522-1DF7-47C8-9B25-A18C323BEC90}" name="法人／事業所数" dataCellStyle="桁区切り"/>
    <tableColumn id="15" xr3:uid="{629398AC-A5AE-400D-A45F-FD9EDF8AF73A}" name="法人／構成比" dataDxfId="675"/>
    <tableColumn id="16" xr3:uid="{F131E1BE-FBBB-45BF-9CD5-BDAB42A1F1CA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5F5096D-A3C9-4D55-8FCE-41ED4FBE124F}" name="S_TABLE_13115" displayName="S_TABLE_13115" ref="B46:I66" totalsRowShown="0">
  <autoFilter ref="B46:I66" xr:uid="{D5F5096D-A3C9-4D55-8FCE-41ED4FBE124F}"/>
  <tableColumns count="8">
    <tableColumn id="9" xr3:uid="{FC8CEA3D-CD9D-4ADE-A22C-88E04DE6AD66}" name="産業小分類上位２０"/>
    <tableColumn id="10" xr3:uid="{AF92C30B-51AA-4DF9-8AC8-4169ED0ED9D8}" name="総数／事業所数" dataCellStyle="桁区切り"/>
    <tableColumn id="11" xr3:uid="{D17B243F-3588-4409-AE2A-313D396746AF}" name="総数／構成比" dataDxfId="674"/>
    <tableColumn id="12" xr3:uid="{5CAF0383-F58D-4534-9D6B-30FF2418419E}" name="個人／事業所数" dataCellStyle="桁区切り"/>
    <tableColumn id="13" xr3:uid="{5751F93B-FF52-4B32-AAE8-321008670D2C}" name="個人／構成比" dataDxfId="673"/>
    <tableColumn id="14" xr3:uid="{A6BC4611-FFFC-4B9C-ABA4-D6A1D540278C}" name="法人／事業所数" dataCellStyle="桁区切り"/>
    <tableColumn id="15" xr3:uid="{3AADDF33-462C-4684-AFE7-FA8C319D9065}" name="法人／構成比" dataDxfId="672"/>
    <tableColumn id="16" xr3:uid="{C71A3137-0882-4F8D-8937-91D76865E97C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7805265-43D1-4981-B7FA-657C94AB390A}" name="LTBL_13116" displayName="LTBL_13116" ref="B4:I20" totalsRowCount="1">
  <autoFilter ref="B4:I19" xr:uid="{57805265-43D1-4981-B7FA-657C94AB390A}"/>
  <tableColumns count="8">
    <tableColumn id="9" xr3:uid="{2DE8A418-A58F-4E4C-8EEC-0148993C91C7}" name="産業大分類" totalsRowLabel="合計" totalsRowDxfId="671"/>
    <tableColumn id="10" xr3:uid="{6A0755C4-617B-4CB6-A0C3-8C84F9C41053}" name="総数／事業所数" totalsRowFunction="custom" totalsRowDxfId="670" dataCellStyle="桁区切り" totalsRowCellStyle="桁区切り">
      <totalsRowFormula>SUM(LTBL_13116[総数／事業所数])</totalsRowFormula>
    </tableColumn>
    <tableColumn id="11" xr3:uid="{7A3BEF52-5EA2-4C9F-908B-8591861E252F}" name="総数／構成比" dataDxfId="669"/>
    <tableColumn id="12" xr3:uid="{31B3FC3A-669B-48F9-91AC-4B010554A45D}" name="個人／事業所数" totalsRowFunction="sum" totalsRowDxfId="668" dataCellStyle="桁区切り" totalsRowCellStyle="桁区切り"/>
    <tableColumn id="13" xr3:uid="{09BD070F-BAA2-45B6-AAA5-1DD8049C2B80}" name="個人／構成比" dataDxfId="667"/>
    <tableColumn id="14" xr3:uid="{6601B943-2A73-4D24-9691-12D56A01CC2B}" name="法人／事業所数" totalsRowFunction="sum" totalsRowDxfId="666" dataCellStyle="桁区切り" totalsRowCellStyle="桁区切り"/>
    <tableColumn id="15" xr3:uid="{902B6462-36F4-4998-84A2-1BD512E16A16}" name="法人／構成比" dataDxfId="665"/>
    <tableColumn id="16" xr3:uid="{6FF9E543-6FF8-4212-8A62-0AD7E0BEAB50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A723E09-5AAD-4257-BC16-62FDCDCEEFB6}" name="M_TABLE_13116" displayName="M_TABLE_13116" ref="B23:I43" totalsRowShown="0">
  <autoFilter ref="B23:I43" xr:uid="{6A723E09-5AAD-4257-BC16-62FDCDCEEFB6}"/>
  <tableColumns count="8">
    <tableColumn id="9" xr3:uid="{FF5FE71E-274D-4258-920C-8B6FDC1D3571}" name="産業中分類上位２０"/>
    <tableColumn id="10" xr3:uid="{E359E40B-FC83-4BAA-A0DD-BEE5AE5BE7AD}" name="総数／事業所数" dataCellStyle="桁区切り"/>
    <tableColumn id="11" xr3:uid="{A4C0D359-6E74-4632-BA7E-8A78B9D5EDCA}" name="総数／構成比" dataDxfId="663"/>
    <tableColumn id="12" xr3:uid="{6BF5DF88-5B90-4E6A-B58A-BC2A937B0446}" name="個人／事業所数" dataCellStyle="桁区切り"/>
    <tableColumn id="13" xr3:uid="{ED243FC5-F7C2-461B-ACA7-581CC1208E8B}" name="個人／構成比" dataDxfId="662"/>
    <tableColumn id="14" xr3:uid="{D8025FC7-849F-4F40-B3B2-EEC220820F89}" name="法人／事業所数" dataCellStyle="桁区切り"/>
    <tableColumn id="15" xr3:uid="{CA71E12B-2613-455F-AEB4-36C71AE5DAE4}" name="法人／構成比" dataDxfId="661"/>
    <tableColumn id="16" xr3:uid="{2A5AF81A-9F43-46B1-A597-FB14ACEE8CFD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1E0D699-B853-4E1A-BB84-6BFFE8500EED}" name="S_TABLE_13116" displayName="S_TABLE_13116" ref="B46:I66" totalsRowShown="0">
  <autoFilter ref="B46:I66" xr:uid="{D1E0D699-B853-4E1A-BB84-6BFFE8500EED}"/>
  <tableColumns count="8">
    <tableColumn id="9" xr3:uid="{D5122CCB-BA98-495D-877F-0E3789D9B7B7}" name="産業小分類上位２０"/>
    <tableColumn id="10" xr3:uid="{EF81F79E-6CC6-4752-81BF-9916EB8FA503}" name="総数／事業所数" dataCellStyle="桁区切り"/>
    <tableColumn id="11" xr3:uid="{7892EBB8-DE88-4A08-A07A-E42F3351B50B}" name="総数／構成比" dataDxfId="660"/>
    <tableColumn id="12" xr3:uid="{D2DC6CDF-BD4E-4C0A-8231-68FE1E8B1D36}" name="個人／事業所数" dataCellStyle="桁区切り"/>
    <tableColumn id="13" xr3:uid="{A8B45900-6A9E-4149-AA82-94B2E032ADFC}" name="個人／構成比" dataDxfId="659"/>
    <tableColumn id="14" xr3:uid="{F319A3F5-FD52-4D90-953B-68B37EA65FBA}" name="法人／事業所数" dataCellStyle="桁区切り"/>
    <tableColumn id="15" xr3:uid="{66985E66-DA1E-4380-BF8C-01E573E5830E}" name="法人／構成比" dataDxfId="658"/>
    <tableColumn id="16" xr3:uid="{D844B2B0-7A96-44A1-ACAA-E20201DB509F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06A26C0-8A42-43AD-BB7F-F046D3871A1F}" name="LTBL_13117" displayName="LTBL_13117" ref="B4:I20" totalsRowCount="1">
  <autoFilter ref="B4:I19" xr:uid="{A06A26C0-8A42-43AD-BB7F-F046D3871A1F}"/>
  <tableColumns count="8">
    <tableColumn id="9" xr3:uid="{69EC021B-06B0-497E-A964-2D4024A89437}" name="産業大分類" totalsRowLabel="合計" totalsRowDxfId="657"/>
    <tableColumn id="10" xr3:uid="{65604583-D169-4B38-8A03-20FEDE10A2C5}" name="総数／事業所数" totalsRowFunction="custom" totalsRowDxfId="656" dataCellStyle="桁区切り" totalsRowCellStyle="桁区切り">
      <totalsRowFormula>SUM(LTBL_13117[総数／事業所数])</totalsRowFormula>
    </tableColumn>
    <tableColumn id="11" xr3:uid="{E3982FB5-0526-40BA-B209-5DC5CB21F4DF}" name="総数／構成比" dataDxfId="655"/>
    <tableColumn id="12" xr3:uid="{A8A0A2F0-F8B4-4DDD-938A-A80D05959F2B}" name="個人／事業所数" totalsRowFunction="sum" totalsRowDxfId="654" dataCellStyle="桁区切り" totalsRowCellStyle="桁区切り"/>
    <tableColumn id="13" xr3:uid="{315F4B23-356A-41A0-A343-F8501601D7AD}" name="個人／構成比" dataDxfId="653"/>
    <tableColumn id="14" xr3:uid="{9E55C675-D746-4009-967B-4DE93F816EFC}" name="法人／事業所数" totalsRowFunction="sum" totalsRowDxfId="652" dataCellStyle="桁区切り" totalsRowCellStyle="桁区切り"/>
    <tableColumn id="15" xr3:uid="{7C6CD85A-A33F-4EB4-B1D3-A10D5EA610D4}" name="法人／構成比" dataDxfId="651"/>
    <tableColumn id="16" xr3:uid="{DF5CA2BB-92B7-4E44-8B37-BDA08CBF9CE7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8A08EA6-92BF-4E4D-A2E5-DFE571573167}" name="M_TABLE_13117" displayName="M_TABLE_13117" ref="B23:I43" totalsRowShown="0">
  <autoFilter ref="B23:I43" xr:uid="{28A08EA6-92BF-4E4D-A2E5-DFE571573167}"/>
  <tableColumns count="8">
    <tableColumn id="9" xr3:uid="{314CEEB3-ABFD-4387-B2DC-80E714F8E795}" name="産業中分類上位２０"/>
    <tableColumn id="10" xr3:uid="{34147CEB-4FEB-4E56-A618-6EDE933983BA}" name="総数／事業所数" dataCellStyle="桁区切り"/>
    <tableColumn id="11" xr3:uid="{94C3FFFF-D37B-4C1D-84F6-8F222F7AA43A}" name="総数／構成比" dataDxfId="649"/>
    <tableColumn id="12" xr3:uid="{7FD49A59-6606-45C0-8894-9EC91BA40B42}" name="個人／事業所数" dataCellStyle="桁区切り"/>
    <tableColumn id="13" xr3:uid="{5D7510D8-2426-4785-87A2-6E31580818DD}" name="個人／構成比" dataDxfId="648"/>
    <tableColumn id="14" xr3:uid="{698FC7EE-8AB6-4872-AB01-A54DC8DB49B9}" name="法人／事業所数" dataCellStyle="桁区切り"/>
    <tableColumn id="15" xr3:uid="{CD8FC523-0132-4B9D-8433-B0A20AA98954}" name="法人／構成比" dataDxfId="647"/>
    <tableColumn id="16" xr3:uid="{325F2EF3-38A5-4D95-B220-9B7B667B6CC4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DE05603-F38C-45C1-9803-094FACD5D11F}" name="S_TABLE_13117" displayName="S_TABLE_13117" ref="B46:I67" totalsRowShown="0">
  <autoFilter ref="B46:I67" xr:uid="{CDE05603-F38C-45C1-9803-094FACD5D11F}"/>
  <tableColumns count="8">
    <tableColumn id="9" xr3:uid="{8CAA9BF2-5F17-421B-AC42-98FA487E94D7}" name="産業小分類上位２０"/>
    <tableColumn id="10" xr3:uid="{8D465733-34DB-4EEF-A562-DFC429453686}" name="総数／事業所数" dataCellStyle="桁区切り"/>
    <tableColumn id="11" xr3:uid="{3975E19A-3779-4875-9339-7FF107CC0C80}" name="総数／構成比" dataDxfId="646"/>
    <tableColumn id="12" xr3:uid="{9A8B071C-548D-46D2-9B20-AD52DF7C4AB8}" name="個人／事業所数" dataCellStyle="桁区切り"/>
    <tableColumn id="13" xr3:uid="{8BD1AD7F-5F52-4601-A945-112919A79096}" name="個人／構成比" dataDxfId="645"/>
    <tableColumn id="14" xr3:uid="{EF89A185-7933-44F0-9395-6D9CD2443D59}" name="法人／事業所数" dataCellStyle="桁区切り"/>
    <tableColumn id="15" xr3:uid="{1A4AC796-4994-4490-B241-92AB9685BBD8}" name="法人／構成比" dataDxfId="644"/>
    <tableColumn id="16" xr3:uid="{5996F0D0-E890-4753-9714-957BF6A04FBE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02390B0-DA9C-4494-86DF-5969238BFD67}" name="LTBL_13118" displayName="LTBL_13118" ref="B4:I20" totalsRowCount="1">
  <autoFilter ref="B4:I19" xr:uid="{E02390B0-DA9C-4494-86DF-5969238BFD67}"/>
  <tableColumns count="8">
    <tableColumn id="9" xr3:uid="{A7469C52-8B06-4504-B242-557FB03F7C7D}" name="産業大分類" totalsRowLabel="合計" totalsRowDxfId="643"/>
    <tableColumn id="10" xr3:uid="{34229034-386B-4BB5-B1EF-CF2B72336060}" name="総数／事業所数" totalsRowFunction="custom" totalsRowDxfId="642" dataCellStyle="桁区切り" totalsRowCellStyle="桁区切り">
      <totalsRowFormula>SUM(LTBL_13118[総数／事業所数])</totalsRowFormula>
    </tableColumn>
    <tableColumn id="11" xr3:uid="{36F19457-501D-42DA-A5FF-29F020B8579E}" name="総数／構成比" dataDxfId="641"/>
    <tableColumn id="12" xr3:uid="{FD5B58FF-130B-4118-B039-B1A55B20DAB2}" name="個人／事業所数" totalsRowFunction="sum" totalsRowDxfId="640" dataCellStyle="桁区切り" totalsRowCellStyle="桁区切り"/>
    <tableColumn id="13" xr3:uid="{685CC388-B573-4283-84B2-69BD78BDE0C8}" name="個人／構成比" dataDxfId="639"/>
    <tableColumn id="14" xr3:uid="{6C7A3260-3D55-4C83-B0A3-0E4A811DB0CD}" name="法人／事業所数" totalsRowFunction="sum" totalsRowDxfId="638" dataCellStyle="桁区切り" totalsRowCellStyle="桁区切り"/>
    <tableColumn id="15" xr3:uid="{AE1797F6-F0CE-48ED-B8C2-53C87884564A}" name="法人／構成比" dataDxfId="637"/>
    <tableColumn id="16" xr3:uid="{9F1FB4BD-0CCE-44F2-9EFA-D5B0715D67F3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02BC66E-7D35-4D93-953F-3483C21C4883}" name="M_TABLE_13118" displayName="M_TABLE_13118" ref="B23:I43" totalsRowShown="0">
  <autoFilter ref="B23:I43" xr:uid="{702BC66E-7D35-4D93-953F-3483C21C4883}"/>
  <tableColumns count="8">
    <tableColumn id="9" xr3:uid="{37866B6B-EB9E-4F0D-BB72-44CBA891BEE7}" name="産業中分類上位２０"/>
    <tableColumn id="10" xr3:uid="{EB470981-DDAD-4946-823E-F8907790F465}" name="総数／事業所数" dataCellStyle="桁区切り"/>
    <tableColumn id="11" xr3:uid="{6F2A5BDE-E8C6-4B22-9E04-AEE0195837F9}" name="総数／構成比" dataDxfId="635"/>
    <tableColumn id="12" xr3:uid="{0959E618-DC94-4807-BDFC-5DA3F5320385}" name="個人／事業所数" dataCellStyle="桁区切り"/>
    <tableColumn id="13" xr3:uid="{E229B4E2-4954-49E2-BA34-A428BB7F1A1E}" name="個人／構成比" dataDxfId="634"/>
    <tableColumn id="14" xr3:uid="{A92E734F-2008-4299-93E2-CC36CBBE38A8}" name="法人／事業所数" dataCellStyle="桁区切り"/>
    <tableColumn id="15" xr3:uid="{8B1ACA88-E8E6-41A9-87C2-B62B09664902}" name="法人／構成比" dataDxfId="633"/>
    <tableColumn id="16" xr3:uid="{379E2C54-5E84-474F-9574-F8B59389297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C5BF874-1EA0-49E9-A942-1671EB94FC78}" name="S_TABLE_13100" displayName="S_TABLE_13100" ref="B46:I66" totalsRowShown="0">
  <autoFilter ref="B46:I66" xr:uid="{3C5BF874-1EA0-49E9-A942-1671EB94FC78}"/>
  <tableColumns count="8">
    <tableColumn id="9" xr3:uid="{332452B2-1C64-4C89-9EF0-79513464AA73}" name="産業小分類上位２０"/>
    <tableColumn id="10" xr3:uid="{3E09AF9D-EDAD-478B-AD18-C6F0F59163A3}" name="総数／事業所数" dataCellStyle="桁区切り"/>
    <tableColumn id="11" xr3:uid="{4684B548-3222-4E1A-81F2-59B47141CB7D}" name="総数／構成比" dataDxfId="884"/>
    <tableColumn id="12" xr3:uid="{9D8DAA1E-B498-458D-917D-DCCA127CC3E4}" name="個人／事業所数" dataCellStyle="桁区切り"/>
    <tableColumn id="13" xr3:uid="{E3838B34-CE55-4780-BA16-ACD13A5E9F1D}" name="個人／構成比" dataDxfId="883"/>
    <tableColumn id="14" xr3:uid="{A48BD6B3-54E6-4620-926F-65E74A7F0269}" name="法人／事業所数" dataCellStyle="桁区切り"/>
    <tableColumn id="15" xr3:uid="{8713B5AD-62B4-4516-A97F-BAA5C03FAA08}" name="法人／構成比" dataDxfId="882"/>
    <tableColumn id="16" xr3:uid="{C7F08F67-E057-4C6F-B0AA-6979BE4757F2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B3E6C31-DDA6-4D53-8C88-67E751ECFA2D}" name="S_TABLE_13118" displayName="S_TABLE_13118" ref="B46:I68" totalsRowShown="0">
  <autoFilter ref="B46:I68" xr:uid="{DB3E6C31-DDA6-4D53-8C88-67E751ECFA2D}"/>
  <tableColumns count="8">
    <tableColumn id="9" xr3:uid="{74994F7D-0DDD-4D9F-AF21-FB5D25AD52F5}" name="産業小分類上位２０"/>
    <tableColumn id="10" xr3:uid="{85FC3E93-6951-43C9-B2F0-9644E0CC58DE}" name="総数／事業所数" dataCellStyle="桁区切り"/>
    <tableColumn id="11" xr3:uid="{B57B9D48-7ED4-4A8B-9007-840C17CD94CA}" name="総数／構成比" dataDxfId="632"/>
    <tableColumn id="12" xr3:uid="{D8D46DD2-E596-4341-92B9-674813EA79D9}" name="個人／事業所数" dataCellStyle="桁区切り"/>
    <tableColumn id="13" xr3:uid="{D160A0BC-9E8A-4289-989A-513EE9104531}" name="個人／構成比" dataDxfId="631"/>
    <tableColumn id="14" xr3:uid="{B40AC40C-90E0-4CDF-B657-B930ABEC037C}" name="法人／事業所数" dataCellStyle="桁区切り"/>
    <tableColumn id="15" xr3:uid="{2A2E4584-C9F3-4CDB-9664-8F892BF6A4B0}" name="法人／構成比" dataDxfId="630"/>
    <tableColumn id="16" xr3:uid="{4708664B-9E09-45FA-AC4C-46C51FBB1403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DB3DCCC-75CC-475C-B27C-0841E4F9CC67}" name="LTBL_13119" displayName="LTBL_13119" ref="B4:I20" totalsRowCount="1">
  <autoFilter ref="B4:I19" xr:uid="{FDB3DCCC-75CC-475C-B27C-0841E4F9CC67}"/>
  <tableColumns count="8">
    <tableColumn id="9" xr3:uid="{747D8B33-659C-4681-B58D-FA3A7C8B35B4}" name="産業大分類" totalsRowLabel="合計" totalsRowDxfId="629"/>
    <tableColumn id="10" xr3:uid="{BBCBCB64-105C-406F-A900-924DD33F4A43}" name="総数／事業所数" totalsRowFunction="custom" totalsRowDxfId="628" dataCellStyle="桁区切り" totalsRowCellStyle="桁区切り">
      <totalsRowFormula>SUM(LTBL_13119[総数／事業所数])</totalsRowFormula>
    </tableColumn>
    <tableColumn id="11" xr3:uid="{58FDD4FB-CD88-4708-A3FC-267E7ADBF473}" name="総数／構成比" dataDxfId="627"/>
    <tableColumn id="12" xr3:uid="{B906D8C2-A778-40EE-AA83-6730C2D388B2}" name="個人／事業所数" totalsRowFunction="sum" totalsRowDxfId="626" dataCellStyle="桁区切り" totalsRowCellStyle="桁区切り"/>
    <tableColumn id="13" xr3:uid="{5C3BDBB4-DE6B-42D5-9FC5-F44D359B00E7}" name="個人／構成比" dataDxfId="625"/>
    <tableColumn id="14" xr3:uid="{5C6DA5C3-A878-40E2-B901-D2C99682A15B}" name="法人／事業所数" totalsRowFunction="sum" totalsRowDxfId="624" dataCellStyle="桁区切り" totalsRowCellStyle="桁区切り"/>
    <tableColumn id="15" xr3:uid="{D8103819-619A-4DF1-8A1A-9EDC80169CF7}" name="法人／構成比" dataDxfId="623"/>
    <tableColumn id="16" xr3:uid="{6ECAE208-A9FA-447D-84A1-5E62C9571157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E1F7979-2865-4FE4-981C-FDB2BAC2BF19}" name="M_TABLE_13119" displayName="M_TABLE_13119" ref="B23:I43" totalsRowShown="0">
  <autoFilter ref="B23:I43" xr:uid="{4E1F7979-2865-4FE4-981C-FDB2BAC2BF19}"/>
  <tableColumns count="8">
    <tableColumn id="9" xr3:uid="{5E3303D5-8165-4869-9FEF-858C4A46BB14}" name="産業中分類上位２０"/>
    <tableColumn id="10" xr3:uid="{B44426FC-C403-488B-8E86-B41C2296C56F}" name="総数／事業所数" dataCellStyle="桁区切り"/>
    <tableColumn id="11" xr3:uid="{0BF44B81-ADB0-480E-9A2C-C690C0EDFD73}" name="総数／構成比" dataDxfId="621"/>
    <tableColumn id="12" xr3:uid="{A66582C5-566E-4849-AED6-5672878B0D35}" name="個人／事業所数" dataCellStyle="桁区切り"/>
    <tableColumn id="13" xr3:uid="{6FF5D652-D7E9-4B69-B26C-C8C325401929}" name="個人／構成比" dataDxfId="620"/>
    <tableColumn id="14" xr3:uid="{D3F49397-D7C2-419C-9FA7-936D3E4CDDC7}" name="法人／事業所数" dataCellStyle="桁区切り"/>
    <tableColumn id="15" xr3:uid="{AC0112C0-F076-4B02-9E70-A5CDEBD32628}" name="法人／構成比" dataDxfId="619"/>
    <tableColumn id="16" xr3:uid="{A26A19B3-70FA-4133-AAA4-A7FF587D6898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C0914BF-9EEF-499F-8B09-511B469695B1}" name="S_TABLE_13119" displayName="S_TABLE_13119" ref="B46:I66" totalsRowShown="0">
  <autoFilter ref="B46:I66" xr:uid="{AC0914BF-9EEF-499F-8B09-511B469695B1}"/>
  <tableColumns count="8">
    <tableColumn id="9" xr3:uid="{AF916C10-084C-4B05-ABAD-F55595460056}" name="産業小分類上位２０"/>
    <tableColumn id="10" xr3:uid="{33A9E744-02A6-463E-87A0-4985D46AC6B4}" name="総数／事業所数" dataCellStyle="桁区切り"/>
    <tableColumn id="11" xr3:uid="{92C16D77-02FC-4443-B0CB-7421CA3C5738}" name="総数／構成比" dataDxfId="618"/>
    <tableColumn id="12" xr3:uid="{33D3CEE1-F9ED-4579-9A87-D832AD7FA2D5}" name="個人／事業所数" dataCellStyle="桁区切り"/>
    <tableColumn id="13" xr3:uid="{6DC7465D-D502-49B5-9B80-EDCCF17569F9}" name="個人／構成比" dataDxfId="617"/>
    <tableColumn id="14" xr3:uid="{AAAECBF3-58E3-4A51-A3CD-54DCA7AA92AC}" name="法人／事業所数" dataCellStyle="桁区切り"/>
    <tableColumn id="15" xr3:uid="{8ED9D218-2516-4A68-9B77-0E250C69C14A}" name="法人／構成比" dataDxfId="616"/>
    <tableColumn id="16" xr3:uid="{DE5CA62C-FF48-492C-A9D1-13D2CAF351D7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F864CC8-D091-4A69-92A1-4F636B8B74D0}" name="LTBL_13120" displayName="LTBL_13120" ref="B4:I20" totalsRowCount="1">
  <autoFilter ref="B4:I19" xr:uid="{3F864CC8-D091-4A69-92A1-4F636B8B74D0}"/>
  <tableColumns count="8">
    <tableColumn id="9" xr3:uid="{76EC0C9E-68E5-48A5-A326-2C7AD8AC0A99}" name="産業大分類" totalsRowLabel="合計" totalsRowDxfId="615"/>
    <tableColumn id="10" xr3:uid="{45539985-06FE-4132-BE29-0D9FF77DEAD5}" name="総数／事業所数" totalsRowFunction="custom" totalsRowDxfId="614" dataCellStyle="桁区切り" totalsRowCellStyle="桁区切り">
      <totalsRowFormula>SUM(LTBL_13120[総数／事業所数])</totalsRowFormula>
    </tableColumn>
    <tableColumn id="11" xr3:uid="{A8E08C63-2075-4B91-AEDC-B9744747339D}" name="総数／構成比" dataDxfId="613"/>
    <tableColumn id="12" xr3:uid="{F09FA24F-9FD7-4139-B2F8-1C798AB9E2C8}" name="個人／事業所数" totalsRowFunction="sum" totalsRowDxfId="612" dataCellStyle="桁区切り" totalsRowCellStyle="桁区切り"/>
    <tableColumn id="13" xr3:uid="{C1449052-1CDE-4121-8C2A-ABF1E3F4B692}" name="個人／構成比" dataDxfId="611"/>
    <tableColumn id="14" xr3:uid="{DB0DC0E9-33D3-4F2A-A9F2-212E980EBEB8}" name="法人／事業所数" totalsRowFunction="sum" totalsRowDxfId="610" dataCellStyle="桁区切り" totalsRowCellStyle="桁区切り"/>
    <tableColumn id="15" xr3:uid="{4792ECC7-20FB-4733-81D7-F671659AF769}" name="法人／構成比" dataDxfId="609"/>
    <tableColumn id="16" xr3:uid="{1CB5EB20-7165-4BD9-9ABE-3C73AD43FAE1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8AAD84B8-0383-49C2-A1B0-ACB4968BBF64}" name="M_TABLE_13120" displayName="M_TABLE_13120" ref="B23:I43" totalsRowShown="0">
  <autoFilter ref="B23:I43" xr:uid="{8AAD84B8-0383-49C2-A1B0-ACB4968BBF64}"/>
  <tableColumns count="8">
    <tableColumn id="9" xr3:uid="{CEFF47D9-1835-4048-89E5-080EE6AE992B}" name="産業中分類上位２０"/>
    <tableColumn id="10" xr3:uid="{CD65E227-238A-4CC9-A0D0-7DE51C31757F}" name="総数／事業所数" dataCellStyle="桁区切り"/>
    <tableColumn id="11" xr3:uid="{3D3BF3ED-F042-4F68-88AF-9C341BF62609}" name="総数／構成比" dataDxfId="607"/>
    <tableColumn id="12" xr3:uid="{CC649E10-D179-402C-8EF8-A6C3992F7676}" name="個人／事業所数" dataCellStyle="桁区切り"/>
    <tableColumn id="13" xr3:uid="{CA432555-601A-4302-AEB5-AAEEACB96A68}" name="個人／構成比" dataDxfId="606"/>
    <tableColumn id="14" xr3:uid="{1B50F9F9-6D4E-46A9-8345-3B84C8A0BECB}" name="法人／事業所数" dataCellStyle="桁区切り"/>
    <tableColumn id="15" xr3:uid="{075738AC-BC5A-45B2-AEF7-F6A0104CD636}" name="法人／構成比" dataDxfId="605"/>
    <tableColumn id="16" xr3:uid="{613928FD-3066-46EC-9A49-382EBCA30543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DDB06AD2-F283-4E96-B0B3-AFA3F753B119}" name="S_TABLE_13120" displayName="S_TABLE_13120" ref="B46:I66" totalsRowShown="0">
  <autoFilter ref="B46:I66" xr:uid="{DDB06AD2-F283-4E96-B0B3-AFA3F753B119}"/>
  <tableColumns count="8">
    <tableColumn id="9" xr3:uid="{6A1DF19D-7AFE-4854-998F-6C7377FE2EB8}" name="産業小分類上位２０"/>
    <tableColumn id="10" xr3:uid="{356CEFEB-0B02-4529-8AEF-DAF363108A6E}" name="総数／事業所数" dataCellStyle="桁区切り"/>
    <tableColumn id="11" xr3:uid="{9FE06184-0983-4391-B63B-3FD378842F92}" name="総数／構成比" dataDxfId="604"/>
    <tableColumn id="12" xr3:uid="{72E9825F-7EB1-48D4-B544-DDC22AEA9B20}" name="個人／事業所数" dataCellStyle="桁区切り"/>
    <tableColumn id="13" xr3:uid="{46C01B7C-4F8E-4414-8D58-4413E30542BE}" name="個人／構成比" dataDxfId="603"/>
    <tableColumn id="14" xr3:uid="{73C81968-F6A0-4379-B653-8B4B41AD1DFA}" name="法人／事業所数" dataCellStyle="桁区切り"/>
    <tableColumn id="15" xr3:uid="{8358EC32-7BE6-4067-9D6E-4D9CE6788A55}" name="法人／構成比" dataDxfId="602"/>
    <tableColumn id="16" xr3:uid="{46657249-D66B-4926-BBBC-5F0191BC918D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D35F350-F078-481A-8FB6-DCA00B3C0E40}" name="LTBL_13121" displayName="LTBL_13121" ref="B4:I20" totalsRowCount="1">
  <autoFilter ref="B4:I19" xr:uid="{DD35F350-F078-481A-8FB6-DCA00B3C0E40}"/>
  <tableColumns count="8">
    <tableColumn id="9" xr3:uid="{CBCBA6DC-DE90-4598-B299-ACCDEE79B03F}" name="産業大分類" totalsRowLabel="合計" totalsRowDxfId="601"/>
    <tableColumn id="10" xr3:uid="{89418E4C-5A44-4976-BF84-7EA00E8B5636}" name="総数／事業所数" totalsRowFunction="custom" totalsRowDxfId="600" dataCellStyle="桁区切り" totalsRowCellStyle="桁区切り">
      <totalsRowFormula>SUM(LTBL_13121[総数／事業所数])</totalsRowFormula>
    </tableColumn>
    <tableColumn id="11" xr3:uid="{EAB490BF-62D8-4EB4-943B-1523C49AEA61}" name="総数／構成比" dataDxfId="599"/>
    <tableColumn id="12" xr3:uid="{ED37AE31-2FE3-4537-95B2-DDDB99F61DFF}" name="個人／事業所数" totalsRowFunction="sum" totalsRowDxfId="598" dataCellStyle="桁区切り" totalsRowCellStyle="桁区切り"/>
    <tableColumn id="13" xr3:uid="{132C0CE0-7617-415D-85F4-F8C218F31F68}" name="個人／構成比" dataDxfId="597"/>
    <tableColumn id="14" xr3:uid="{82625F4F-1AB2-4A72-9BEF-9B99ECAD923C}" name="法人／事業所数" totalsRowFunction="sum" totalsRowDxfId="596" dataCellStyle="桁区切り" totalsRowCellStyle="桁区切り"/>
    <tableColumn id="15" xr3:uid="{E1206435-6E1E-49A0-90A2-537525F9A4C7}" name="法人／構成比" dataDxfId="595"/>
    <tableColumn id="16" xr3:uid="{308FC560-6C55-442B-B85D-B4EFEEF593A7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EEF970F-2143-4E33-81D8-055C867435D1}" name="M_TABLE_13121" displayName="M_TABLE_13121" ref="B23:I43" totalsRowShown="0">
  <autoFilter ref="B23:I43" xr:uid="{3EEF970F-2143-4E33-81D8-055C867435D1}"/>
  <tableColumns count="8">
    <tableColumn id="9" xr3:uid="{355A0C51-610A-4D08-A68A-8CFCBE99CF10}" name="産業中分類上位２０"/>
    <tableColumn id="10" xr3:uid="{3076F9B5-87A1-4232-A155-AD88C3D5F3C0}" name="総数／事業所数" dataCellStyle="桁区切り"/>
    <tableColumn id="11" xr3:uid="{530E1F0D-51DB-41E9-8757-684DBB2B542F}" name="総数／構成比" dataDxfId="593"/>
    <tableColumn id="12" xr3:uid="{57A7708F-F352-4242-B483-6F9164152CFB}" name="個人／事業所数" dataCellStyle="桁区切り"/>
    <tableColumn id="13" xr3:uid="{66CAB44F-A0F2-49F3-A117-65CAB491F712}" name="個人／構成比" dataDxfId="592"/>
    <tableColumn id="14" xr3:uid="{9CD49B74-D62D-4F62-AEFE-66F3D4AF8584}" name="法人／事業所数" dataCellStyle="桁区切り"/>
    <tableColumn id="15" xr3:uid="{719D6FAE-3BCD-4A74-8061-0EFD4117330A}" name="法人／構成比" dataDxfId="591"/>
    <tableColumn id="16" xr3:uid="{9B5FBE4A-E994-45D4-9CBC-2F2EA566EF27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9FE6DB81-3023-4E54-9AB1-6B554148868C}" name="S_TABLE_13121" displayName="S_TABLE_13121" ref="B46:I66" totalsRowShown="0">
  <autoFilter ref="B46:I66" xr:uid="{9FE6DB81-3023-4E54-9AB1-6B554148868C}"/>
  <tableColumns count="8">
    <tableColumn id="9" xr3:uid="{B2B95BFD-9E01-4BFD-BF39-4F7F517594B0}" name="産業小分類上位２０"/>
    <tableColumn id="10" xr3:uid="{4A461BDB-0911-4D33-AA9E-7C08865441A5}" name="総数／事業所数" dataCellStyle="桁区切り"/>
    <tableColumn id="11" xr3:uid="{2DF3FFE4-379E-48DD-B4E1-1A85B43C80E2}" name="総数／構成比" dataDxfId="590"/>
    <tableColumn id="12" xr3:uid="{DA670627-24C8-439C-8344-0BD129A712E7}" name="個人／事業所数" dataCellStyle="桁区切り"/>
    <tableColumn id="13" xr3:uid="{F33571BC-8D91-4418-B315-6511545C0444}" name="個人／構成比" dataDxfId="589"/>
    <tableColumn id="14" xr3:uid="{856FF766-0990-49D8-AA52-DE8155322F82}" name="法人／事業所数" dataCellStyle="桁区切り"/>
    <tableColumn id="15" xr3:uid="{958B16A3-77BF-4CB2-A2B3-DF8956B9A83D}" name="法人／構成比" dataDxfId="588"/>
    <tableColumn id="16" xr3:uid="{E4291BC7-EF82-4722-8E2C-F26461B0AF73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8F6D73E-6895-4EF3-B17F-E7CAFD1BBBCD}" name="LTBL_13101" displayName="LTBL_13101" ref="B4:I20" totalsRowCount="1">
  <autoFilter ref="B4:I19" xr:uid="{88F6D73E-6895-4EF3-B17F-E7CAFD1BBBCD}"/>
  <tableColumns count="8">
    <tableColumn id="9" xr3:uid="{74271B10-6AFC-4350-9FDC-C0E3C1F11D2A}" name="産業大分類" totalsRowLabel="合計" totalsRowDxfId="881"/>
    <tableColumn id="10" xr3:uid="{40D9CB6E-6A63-4958-82E4-324AEA043818}" name="総数／事業所数" totalsRowFunction="custom" totalsRowDxfId="880" dataCellStyle="桁区切り" totalsRowCellStyle="桁区切り">
      <totalsRowFormula>SUM(LTBL_13101[総数／事業所数])</totalsRowFormula>
    </tableColumn>
    <tableColumn id="11" xr3:uid="{F49F547E-F66B-49B9-BD6E-D7990961C9D9}" name="総数／構成比" dataDxfId="879"/>
    <tableColumn id="12" xr3:uid="{B13FC856-6C07-42FC-9DD2-AA06A106F865}" name="個人／事業所数" totalsRowFunction="sum" totalsRowDxfId="878" dataCellStyle="桁区切り" totalsRowCellStyle="桁区切り"/>
    <tableColumn id="13" xr3:uid="{64F17954-3223-43A6-93F7-03FBACDC656D}" name="個人／構成比" dataDxfId="877"/>
    <tableColumn id="14" xr3:uid="{84BB240A-2771-46A1-9FA4-01015B6D87B3}" name="法人／事業所数" totalsRowFunction="sum" totalsRowDxfId="876" dataCellStyle="桁区切り" totalsRowCellStyle="桁区切り"/>
    <tableColumn id="15" xr3:uid="{6CCF53C5-6680-43A7-933A-5D4ABA37169A}" name="法人／構成比" dataDxfId="875"/>
    <tableColumn id="16" xr3:uid="{69695F02-0F97-401A-B013-2FE8E2581DEC}" name="法人以外の団体／事業所数" totalsRowFunction="sum" totalsRowDxfId="87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CAF44F2F-23EF-429E-B53E-00386ED08951}" name="LTBL_13122" displayName="LTBL_13122" ref="B4:I20" totalsRowCount="1">
  <autoFilter ref="B4:I19" xr:uid="{CAF44F2F-23EF-429E-B53E-00386ED08951}"/>
  <tableColumns count="8">
    <tableColumn id="9" xr3:uid="{4258B2D2-C9C4-41DA-90B8-6426E24F2D59}" name="産業大分類" totalsRowLabel="合計" totalsRowDxfId="587"/>
    <tableColumn id="10" xr3:uid="{6BE841C1-5DF5-490D-B732-6A44D698CCFB}" name="総数／事業所数" totalsRowFunction="custom" totalsRowDxfId="586" dataCellStyle="桁区切り" totalsRowCellStyle="桁区切り">
      <totalsRowFormula>SUM(LTBL_13122[総数／事業所数])</totalsRowFormula>
    </tableColumn>
    <tableColumn id="11" xr3:uid="{A59CEDC7-A98F-4DEB-8218-78F776065E81}" name="総数／構成比" dataDxfId="585"/>
    <tableColumn id="12" xr3:uid="{C8043032-475C-4734-85C2-50AF656481F4}" name="個人／事業所数" totalsRowFunction="sum" totalsRowDxfId="584" dataCellStyle="桁区切り" totalsRowCellStyle="桁区切り"/>
    <tableColumn id="13" xr3:uid="{787376DB-B1B4-406C-BCC9-3276D0A14829}" name="個人／構成比" dataDxfId="583"/>
    <tableColumn id="14" xr3:uid="{CD493B65-3DC3-4E05-93CA-92B5B3F2B327}" name="法人／事業所数" totalsRowFunction="sum" totalsRowDxfId="582" dataCellStyle="桁区切り" totalsRowCellStyle="桁区切り"/>
    <tableColumn id="15" xr3:uid="{25D9480A-AE83-4FC8-8B44-86A77EBFEBD4}" name="法人／構成比" dataDxfId="581"/>
    <tableColumn id="16" xr3:uid="{46E27EC9-D9D2-4C58-B9BC-24BE2D4F39D4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8FEE8173-2312-47E1-BDF8-2CA15EAE405C}" name="M_TABLE_13122" displayName="M_TABLE_13122" ref="B23:I43" totalsRowShown="0">
  <autoFilter ref="B23:I43" xr:uid="{8FEE8173-2312-47E1-BDF8-2CA15EAE405C}"/>
  <tableColumns count="8">
    <tableColumn id="9" xr3:uid="{3A901DCA-8680-4C42-9E22-2F01FDE76EB4}" name="産業中分類上位２０"/>
    <tableColumn id="10" xr3:uid="{D6394AD9-9BFB-471B-BC3E-F910AA311C72}" name="総数／事業所数" dataCellStyle="桁区切り"/>
    <tableColumn id="11" xr3:uid="{C68D1584-3E41-411F-8138-7B1DCA7B1D32}" name="総数／構成比" dataDxfId="579"/>
    <tableColumn id="12" xr3:uid="{C7EE1B8C-C7EB-4BBA-AC20-65D10882CCD5}" name="個人／事業所数" dataCellStyle="桁区切り"/>
    <tableColumn id="13" xr3:uid="{3CE07E81-6C17-4E12-B17E-DD3DD6374659}" name="個人／構成比" dataDxfId="578"/>
    <tableColumn id="14" xr3:uid="{AA34C962-2863-4DE9-BB25-9E7E42A46FB2}" name="法人／事業所数" dataCellStyle="桁区切り"/>
    <tableColumn id="15" xr3:uid="{A8DB5E47-A6B6-4377-B20A-1B3A568EDEAF}" name="法人／構成比" dataDxfId="577"/>
    <tableColumn id="16" xr3:uid="{A97E6C33-6EFE-4C98-AF62-155360E5FC07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64B46D2-7D4B-4F57-AE15-8164261A6E59}" name="S_TABLE_13122" displayName="S_TABLE_13122" ref="B46:I67" totalsRowShown="0">
  <autoFilter ref="B46:I67" xr:uid="{B64B46D2-7D4B-4F57-AE15-8164261A6E59}"/>
  <tableColumns count="8">
    <tableColumn id="9" xr3:uid="{CFBBDE7E-EFBE-4BC5-B384-6A369B6AC6F5}" name="産業小分類上位２０"/>
    <tableColumn id="10" xr3:uid="{60917D39-7D13-431E-90AE-FDDE7500A90D}" name="総数／事業所数" dataCellStyle="桁区切り"/>
    <tableColumn id="11" xr3:uid="{4239A83C-60E1-4324-8971-5518558117D8}" name="総数／構成比" dataDxfId="576"/>
    <tableColumn id="12" xr3:uid="{B1E57FF5-DFA9-4434-9932-8437BF4EC71E}" name="個人／事業所数" dataCellStyle="桁区切り"/>
    <tableColumn id="13" xr3:uid="{8F0E9D20-FE51-4780-AA07-99616AD11E45}" name="個人／構成比" dataDxfId="575"/>
    <tableColumn id="14" xr3:uid="{93747424-2E8D-43D8-90AF-D5B5231F156F}" name="法人／事業所数" dataCellStyle="桁区切り"/>
    <tableColumn id="15" xr3:uid="{4BBA4EAF-2B2C-42F2-9CE2-95B342540382}" name="法人／構成比" dataDxfId="574"/>
    <tableColumn id="16" xr3:uid="{2A8459BF-B456-40A9-8F78-EF2B4E853212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3D1ADC5A-601D-4128-B405-03A4B0D08661}" name="LTBL_13123" displayName="LTBL_13123" ref="B4:I20" totalsRowCount="1">
  <autoFilter ref="B4:I19" xr:uid="{3D1ADC5A-601D-4128-B405-03A4B0D08661}"/>
  <tableColumns count="8">
    <tableColumn id="9" xr3:uid="{FDFCFFEA-6187-4C93-85E1-147FECDAA489}" name="産業大分類" totalsRowLabel="合計" totalsRowDxfId="573"/>
    <tableColumn id="10" xr3:uid="{B127BF49-2DAE-4A02-A34B-0B66F1087EFE}" name="総数／事業所数" totalsRowFunction="custom" totalsRowDxfId="572" dataCellStyle="桁区切り" totalsRowCellStyle="桁区切り">
      <totalsRowFormula>SUM(LTBL_13123[総数／事業所数])</totalsRowFormula>
    </tableColumn>
    <tableColumn id="11" xr3:uid="{884FDC47-9C70-4C7F-A90F-2108C1659569}" name="総数／構成比" dataDxfId="571"/>
    <tableColumn id="12" xr3:uid="{70A62A87-FD99-4BF7-8074-8D6315BD354D}" name="個人／事業所数" totalsRowFunction="sum" totalsRowDxfId="570" dataCellStyle="桁区切り" totalsRowCellStyle="桁区切り"/>
    <tableColumn id="13" xr3:uid="{8B74D60E-602E-4F9B-9C37-359C4ADD8CC3}" name="個人／構成比" dataDxfId="569"/>
    <tableColumn id="14" xr3:uid="{31DEEB1F-FE60-4D11-9425-DB48135E166E}" name="法人／事業所数" totalsRowFunction="sum" totalsRowDxfId="568" dataCellStyle="桁区切り" totalsRowCellStyle="桁区切り"/>
    <tableColumn id="15" xr3:uid="{8D121E08-6A8A-486A-AE30-04ABDC251F6F}" name="法人／構成比" dataDxfId="567"/>
    <tableColumn id="16" xr3:uid="{FA08909D-D28B-4D75-9BC3-34431E4CE429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7A4FFA0-CD28-4FE5-9E10-3A388F4A4532}" name="M_TABLE_13123" displayName="M_TABLE_13123" ref="B23:I43" totalsRowShown="0">
  <autoFilter ref="B23:I43" xr:uid="{47A4FFA0-CD28-4FE5-9E10-3A388F4A4532}"/>
  <tableColumns count="8">
    <tableColumn id="9" xr3:uid="{B1D45D28-F869-458B-9E53-154FED32D84E}" name="産業中分類上位２０"/>
    <tableColumn id="10" xr3:uid="{BA6DA5E6-F086-456C-A500-859AD2A9BEA5}" name="総数／事業所数" dataCellStyle="桁区切り"/>
    <tableColumn id="11" xr3:uid="{F188264A-8692-4652-9551-5204A8D0217F}" name="総数／構成比" dataDxfId="565"/>
    <tableColumn id="12" xr3:uid="{FE0A8B81-9729-4C4D-BFDD-62DFA487D26B}" name="個人／事業所数" dataCellStyle="桁区切り"/>
    <tableColumn id="13" xr3:uid="{C3EA21CC-1570-4A0D-9AB7-19264AF53094}" name="個人／構成比" dataDxfId="564"/>
    <tableColumn id="14" xr3:uid="{770766DB-D1E1-4CE4-B1E2-2BE68482C026}" name="法人／事業所数" dataCellStyle="桁区切り"/>
    <tableColumn id="15" xr3:uid="{5990AB7F-2D84-4441-BF68-D188C1836723}" name="法人／構成比" dataDxfId="563"/>
    <tableColumn id="16" xr3:uid="{2D6136EB-BA0A-4282-8B4D-BC6AA3ADAF31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E4731EF-92F2-498B-BAD7-C31A5A05BC45}" name="S_TABLE_13123" displayName="S_TABLE_13123" ref="B46:I66" totalsRowShown="0">
  <autoFilter ref="B46:I66" xr:uid="{9E4731EF-92F2-498B-BAD7-C31A5A05BC45}"/>
  <tableColumns count="8">
    <tableColumn id="9" xr3:uid="{7085D106-3016-41D5-9394-FEA8D0235CE5}" name="産業小分類上位２０"/>
    <tableColumn id="10" xr3:uid="{3DE1F431-9309-41A0-849A-3D9F88D0A0A6}" name="総数／事業所数" dataCellStyle="桁区切り"/>
    <tableColumn id="11" xr3:uid="{019F03EB-670C-48FF-A136-A2417221D899}" name="総数／構成比" dataDxfId="562"/>
    <tableColumn id="12" xr3:uid="{833B3A01-6998-48BC-8DFD-938F3E907960}" name="個人／事業所数" dataCellStyle="桁区切り"/>
    <tableColumn id="13" xr3:uid="{98C66019-5C86-4B31-BF00-9227C2393BB2}" name="個人／構成比" dataDxfId="561"/>
    <tableColumn id="14" xr3:uid="{1BB760E5-DDC0-41B8-B744-F5163B73F54D}" name="法人／事業所数" dataCellStyle="桁区切り"/>
    <tableColumn id="15" xr3:uid="{5CBBB796-B073-4D3E-818B-1B33C99E2EE8}" name="法人／構成比" dataDxfId="560"/>
    <tableColumn id="16" xr3:uid="{7C94283A-872D-47FD-B377-B61618932174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273D0F7-16B6-48C1-97DE-02DB3EBB75F9}" name="LTBL_13199" displayName="LTBL_13199" ref="B4:I20" totalsRowCount="1">
  <autoFilter ref="B4:I19" xr:uid="{7273D0F7-16B6-48C1-97DE-02DB3EBB75F9}"/>
  <tableColumns count="8">
    <tableColumn id="9" xr3:uid="{A8EC22D2-2526-4C0A-841E-44058FD0CC46}" name="産業大分類" totalsRowLabel="合計" totalsRowDxfId="559"/>
    <tableColumn id="10" xr3:uid="{3BFAEBA8-D5BE-401C-BC28-9840EE39F0E3}" name="総数／事業所数" totalsRowFunction="custom" totalsRowDxfId="558" dataCellStyle="桁区切り" totalsRowCellStyle="桁区切り">
      <totalsRowFormula>SUM(LTBL_13199[総数／事業所数])</totalsRowFormula>
    </tableColumn>
    <tableColumn id="11" xr3:uid="{48F60DA7-D7EC-4C97-84C3-0FFE52234E4A}" name="総数／構成比" dataDxfId="557"/>
    <tableColumn id="12" xr3:uid="{54E160DD-D927-4408-9C83-1C7B166FD75C}" name="個人／事業所数" totalsRowFunction="sum" totalsRowDxfId="556" dataCellStyle="桁区切り" totalsRowCellStyle="桁区切り"/>
    <tableColumn id="13" xr3:uid="{55C447E4-724C-4F36-B446-1120D0ED14FF}" name="個人／構成比" dataDxfId="555"/>
    <tableColumn id="14" xr3:uid="{8DB0EAD6-033D-42B2-ABDA-A62508F24B00}" name="法人／事業所数" totalsRowFunction="sum" totalsRowDxfId="554" dataCellStyle="桁区切り" totalsRowCellStyle="桁区切り"/>
    <tableColumn id="15" xr3:uid="{684B6725-96F6-4DE1-8785-FF2806B6D60C}" name="法人／構成比" dataDxfId="553"/>
    <tableColumn id="16" xr3:uid="{9B80D097-16E6-4D88-976D-9F1AF652ECD2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EF8AC0A-7209-47E6-AB86-E4E001B01116}" name="M_TABLE_13199" displayName="M_TABLE_13199" ref="B23:I52" totalsRowShown="0">
  <autoFilter ref="B23:I52" xr:uid="{EEF8AC0A-7209-47E6-AB86-E4E001B01116}"/>
  <tableColumns count="8">
    <tableColumn id="9" xr3:uid="{9C3B1561-C676-40E3-82D0-F513E8489E72}" name="産業中分類上位２０"/>
    <tableColumn id="10" xr3:uid="{A5CB2565-BE9E-4345-97FF-8DE811AE9155}" name="総数／事業所数" dataCellStyle="桁区切り"/>
    <tableColumn id="11" xr3:uid="{83264C15-73DE-4440-97DC-A30B45821C6E}" name="総数／構成比" dataDxfId="551"/>
    <tableColumn id="12" xr3:uid="{3135FF61-40C6-4C3F-9A84-A4F10F7A31A0}" name="個人／事業所数" dataCellStyle="桁区切り"/>
    <tableColumn id="13" xr3:uid="{C60784B3-A6A0-4B06-97E8-C36EB7703BDF}" name="個人／構成比" dataDxfId="550"/>
    <tableColumn id="14" xr3:uid="{835844C2-A78F-46B8-B271-57AA957257AA}" name="法人／事業所数" dataCellStyle="桁区切り"/>
    <tableColumn id="15" xr3:uid="{F6FC3095-BFC8-4B3E-A962-406470624DDB}" name="法人／構成比" dataDxfId="549"/>
    <tableColumn id="16" xr3:uid="{00C28DF5-A676-4CFA-B7B4-8CDD71AC51FD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4C2E481-5B21-465C-9D91-2B2546076AEC}" name="S_TABLE_13199" displayName="S_TABLE_13199" ref="B55:I81" totalsRowShown="0">
  <autoFilter ref="B55:I81" xr:uid="{B4C2E481-5B21-465C-9D91-2B2546076AEC}"/>
  <tableColumns count="8">
    <tableColumn id="9" xr3:uid="{B82762D7-5570-4A96-8343-FD6E44AFD115}" name="産業小分類上位２０"/>
    <tableColumn id="10" xr3:uid="{FE82CFB8-8CA2-4049-8C84-6A765294D1C4}" name="総数／事業所数" dataCellStyle="桁区切り"/>
    <tableColumn id="11" xr3:uid="{DB91176E-7672-4460-B4D6-8C7640057898}" name="総数／構成比" dataDxfId="548"/>
    <tableColumn id="12" xr3:uid="{E59A135B-06FD-4E8D-A0AA-7FCAEB12822F}" name="個人／事業所数" dataCellStyle="桁区切り"/>
    <tableColumn id="13" xr3:uid="{805CD864-1670-43C6-A9AD-ABD2653BD66A}" name="個人／構成比" dataDxfId="547"/>
    <tableColumn id="14" xr3:uid="{FB5476F2-8B9F-4411-90E8-C917AFF31324}" name="法人／事業所数" dataCellStyle="桁区切り"/>
    <tableColumn id="15" xr3:uid="{ACE8BEF5-466F-4E44-A038-422258840638}" name="法人／構成比" dataDxfId="546"/>
    <tableColumn id="16" xr3:uid="{2B628DD7-5962-4A17-BA48-A2D5A41B3FA9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13B10F9-BC12-44BD-A2EE-DD89D769D559}" name="LTBL_13201" displayName="LTBL_13201" ref="B4:I20" totalsRowCount="1">
  <autoFilter ref="B4:I19" xr:uid="{713B10F9-BC12-44BD-A2EE-DD89D769D559}"/>
  <tableColumns count="8">
    <tableColumn id="9" xr3:uid="{274D3F2A-7A48-48F7-8AC0-C97E77ECBD41}" name="産業大分類" totalsRowLabel="合計" totalsRowDxfId="545"/>
    <tableColumn id="10" xr3:uid="{A39FAAE8-E367-4F50-8818-A8E9B67328F3}" name="総数／事業所数" totalsRowFunction="custom" totalsRowDxfId="544" dataCellStyle="桁区切り" totalsRowCellStyle="桁区切り">
      <totalsRowFormula>SUM(LTBL_13201[総数／事業所数])</totalsRowFormula>
    </tableColumn>
    <tableColumn id="11" xr3:uid="{44CA96FF-646D-425E-ADB4-C5E99AC6651E}" name="総数／構成比" dataDxfId="543"/>
    <tableColumn id="12" xr3:uid="{A06BC832-33FE-4D8F-B533-E9DB5F6DF9EA}" name="個人／事業所数" totalsRowFunction="sum" totalsRowDxfId="542" dataCellStyle="桁区切り" totalsRowCellStyle="桁区切り"/>
    <tableColumn id="13" xr3:uid="{43CF76E5-CB5A-4CEB-A37F-02FC2DE74E12}" name="個人／構成比" dataDxfId="541"/>
    <tableColumn id="14" xr3:uid="{EAD07774-8588-465B-8087-1407D888ACCA}" name="法人／事業所数" totalsRowFunction="sum" totalsRowDxfId="540" dataCellStyle="桁区切り" totalsRowCellStyle="桁区切り"/>
    <tableColumn id="15" xr3:uid="{1973B818-AFF8-483F-B694-EB7DC4FA9BCF}" name="法人／構成比" dataDxfId="539"/>
    <tableColumn id="16" xr3:uid="{D2B95A75-33EA-40FE-95FB-D361883102AE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7C0DE3-7371-41F7-8C2E-7F98EB6CC551}" name="M_TABLE_13101" displayName="M_TABLE_13101" ref="B23:I43" totalsRowShown="0">
  <autoFilter ref="B23:I43" xr:uid="{957C0DE3-7371-41F7-8C2E-7F98EB6CC551}"/>
  <tableColumns count="8">
    <tableColumn id="9" xr3:uid="{253D3D65-826F-493C-A65F-0E7A7DAA6786}" name="産業中分類上位２０"/>
    <tableColumn id="10" xr3:uid="{34D4B2DC-2AAE-407E-A971-EA742CC189C0}" name="総数／事業所数" dataCellStyle="桁区切り"/>
    <tableColumn id="11" xr3:uid="{9DBC15AD-686F-49B4-9E7F-21F4F20D4FB4}" name="総数／構成比" dataDxfId="873"/>
    <tableColumn id="12" xr3:uid="{16AC5F8A-9584-4E65-B98C-F641A53F9CD6}" name="個人／事業所数" dataCellStyle="桁区切り"/>
    <tableColumn id="13" xr3:uid="{B71646F3-6512-4C51-A7F4-4FB8B1603F00}" name="個人／構成比" dataDxfId="872"/>
    <tableColumn id="14" xr3:uid="{BBD41985-D351-4435-AF40-63216A530C79}" name="法人／事業所数" dataCellStyle="桁区切り"/>
    <tableColumn id="15" xr3:uid="{B9668926-B23D-4ECE-8374-ADF35F390B9B}" name="法人／構成比" dataDxfId="871"/>
    <tableColumn id="16" xr3:uid="{E744CA0C-E0EF-4302-8108-7A1D51404257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F583D9E-1454-4750-B796-F1E21EE35A7F}" name="M_TABLE_13201" displayName="M_TABLE_13201" ref="B23:I43" totalsRowShown="0">
  <autoFilter ref="B23:I43" xr:uid="{0F583D9E-1454-4750-B796-F1E21EE35A7F}"/>
  <tableColumns count="8">
    <tableColumn id="9" xr3:uid="{338D0CB2-1672-4F34-8369-8C41DBA63C84}" name="産業中分類上位２０"/>
    <tableColumn id="10" xr3:uid="{6B4AA18C-468D-4697-B21A-A967BF0400FC}" name="総数／事業所数" dataCellStyle="桁区切り"/>
    <tableColumn id="11" xr3:uid="{706E7CC9-546A-4CFD-B9A5-E756D34F0189}" name="総数／構成比" dataDxfId="537"/>
    <tableColumn id="12" xr3:uid="{83707BBF-9502-4115-A4E7-429BD247E780}" name="個人／事業所数" dataCellStyle="桁区切り"/>
    <tableColumn id="13" xr3:uid="{9DA68790-2D2A-401F-AB88-F3C3C97B2E25}" name="個人／構成比" dataDxfId="536"/>
    <tableColumn id="14" xr3:uid="{42F4ADE2-07EB-4878-9F58-5DD6B7496476}" name="法人／事業所数" dataCellStyle="桁区切り"/>
    <tableColumn id="15" xr3:uid="{F9722428-C304-4937-A135-17EFD6249498}" name="法人／構成比" dataDxfId="535"/>
    <tableColumn id="16" xr3:uid="{E3DE2D99-58BB-43AA-BDF4-F10E714415EB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55BC794-F469-4632-9357-E80FA22AA9B0}" name="S_TABLE_13201" displayName="S_TABLE_13201" ref="B46:I66" totalsRowShown="0">
  <autoFilter ref="B46:I66" xr:uid="{755BC794-F469-4632-9357-E80FA22AA9B0}"/>
  <tableColumns count="8">
    <tableColumn id="9" xr3:uid="{755D910D-11FF-41F0-AD30-A173E7E755FC}" name="産業小分類上位２０"/>
    <tableColumn id="10" xr3:uid="{DD07288F-43A6-429F-BE21-0F4518816DCD}" name="総数／事業所数" dataCellStyle="桁区切り"/>
    <tableColumn id="11" xr3:uid="{DAA13771-BC6F-46AA-B10D-C39CEB19A572}" name="総数／構成比" dataDxfId="534"/>
    <tableColumn id="12" xr3:uid="{17F93A76-AD26-4338-9926-C81E5978D61D}" name="個人／事業所数" dataCellStyle="桁区切り"/>
    <tableColumn id="13" xr3:uid="{6F9A6A41-56B2-4AA7-8ABA-6E766CB46C0B}" name="個人／構成比" dataDxfId="533"/>
    <tableColumn id="14" xr3:uid="{A4AE6D12-EEDF-46B7-9CC2-6CD4241E0261}" name="法人／事業所数" dataCellStyle="桁区切り"/>
    <tableColumn id="15" xr3:uid="{1079126F-CD0E-439C-BC69-599C098E83DF}" name="法人／構成比" dataDxfId="532"/>
    <tableColumn id="16" xr3:uid="{774EB4BA-3642-4E1F-B325-7926B300196B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CD0FB03-1BEC-4269-922B-F9C8A3C69EB3}" name="LTBL_13202" displayName="LTBL_13202" ref="B4:I20" totalsRowCount="1">
  <autoFilter ref="B4:I19" xr:uid="{8CD0FB03-1BEC-4269-922B-F9C8A3C69EB3}"/>
  <tableColumns count="8">
    <tableColumn id="9" xr3:uid="{22BC2AFE-F94C-42AA-9DA4-4B3F9E258C9B}" name="産業大分類" totalsRowLabel="合計" totalsRowDxfId="531"/>
    <tableColumn id="10" xr3:uid="{E8485491-EEDB-4096-9548-0E12314E033E}" name="総数／事業所数" totalsRowFunction="custom" totalsRowDxfId="530" dataCellStyle="桁区切り" totalsRowCellStyle="桁区切り">
      <totalsRowFormula>SUM(LTBL_13202[総数／事業所数])</totalsRowFormula>
    </tableColumn>
    <tableColumn id="11" xr3:uid="{1B1BB00E-B91F-455D-8541-02C2BAAD4688}" name="総数／構成比" dataDxfId="529"/>
    <tableColumn id="12" xr3:uid="{6E25EA3C-2FA9-49DA-AD03-B638DC983243}" name="個人／事業所数" totalsRowFunction="sum" totalsRowDxfId="528" dataCellStyle="桁区切り" totalsRowCellStyle="桁区切り"/>
    <tableColumn id="13" xr3:uid="{A72FBEF8-BC16-428D-BBF6-B792B3CC6F7B}" name="個人／構成比" dataDxfId="527"/>
    <tableColumn id="14" xr3:uid="{E89B3389-C5B8-45A6-A057-44B80F4885A2}" name="法人／事業所数" totalsRowFunction="sum" totalsRowDxfId="526" dataCellStyle="桁区切り" totalsRowCellStyle="桁区切り"/>
    <tableColumn id="15" xr3:uid="{F39A5731-A3EB-4E1B-8783-6557F7A8EA82}" name="法人／構成比" dataDxfId="525"/>
    <tableColumn id="16" xr3:uid="{C3C85103-3EAE-4CFB-BB49-10939EFF0D64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0E8F947-389F-4EE9-8F89-939018BA62AD}" name="M_TABLE_13202" displayName="M_TABLE_13202" ref="B23:I43" totalsRowShown="0">
  <autoFilter ref="B23:I43" xr:uid="{C0E8F947-389F-4EE9-8F89-939018BA62AD}"/>
  <tableColumns count="8">
    <tableColumn id="9" xr3:uid="{F21EB1BF-985D-401A-9DBB-11D546021E27}" name="産業中分類上位２０"/>
    <tableColumn id="10" xr3:uid="{5ACE87F7-B984-4EEF-B338-C672D1C72DA9}" name="総数／事業所数" dataCellStyle="桁区切り"/>
    <tableColumn id="11" xr3:uid="{81B0D6F3-74B9-4E38-A55D-CB3E4F4D46E8}" name="総数／構成比" dataDxfId="523"/>
    <tableColumn id="12" xr3:uid="{A6FB2860-E1AE-4790-B23F-CD1E0342CCDB}" name="個人／事業所数" dataCellStyle="桁区切り"/>
    <tableColumn id="13" xr3:uid="{DC7EA26B-8847-40C5-A114-2D3DFF2B791C}" name="個人／構成比" dataDxfId="522"/>
    <tableColumn id="14" xr3:uid="{D37785B5-17E7-4C87-A34C-DB0DCBD2D7AD}" name="法人／事業所数" dataCellStyle="桁区切り"/>
    <tableColumn id="15" xr3:uid="{5133C0F6-7A5D-4823-A548-0DF95A28D1C1}" name="法人／構成比" dataDxfId="521"/>
    <tableColumn id="16" xr3:uid="{52DA562F-97E3-486E-8E6D-8D618F000992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E9A880F5-30B7-449B-B8CF-3C9AC663DA88}" name="S_TABLE_13202" displayName="S_TABLE_13202" ref="B46:I66" totalsRowShown="0">
  <autoFilter ref="B46:I66" xr:uid="{E9A880F5-30B7-449B-B8CF-3C9AC663DA88}"/>
  <tableColumns count="8">
    <tableColumn id="9" xr3:uid="{6D384751-47A5-4A7B-BB40-167675911680}" name="産業小分類上位２０"/>
    <tableColumn id="10" xr3:uid="{30A65DFB-CD2C-4614-A960-1D4B7C73EC21}" name="総数／事業所数" dataCellStyle="桁区切り"/>
    <tableColumn id="11" xr3:uid="{F48C64B9-A383-4752-8BF2-316FF50BBB32}" name="総数／構成比" dataDxfId="520"/>
    <tableColumn id="12" xr3:uid="{FA7DF51F-D3B3-442D-8AFE-05750AB422DD}" name="個人／事業所数" dataCellStyle="桁区切り"/>
    <tableColumn id="13" xr3:uid="{5F25D4AB-3EDC-49D5-B666-17B447039FEB}" name="個人／構成比" dataDxfId="519"/>
    <tableColumn id="14" xr3:uid="{9270B995-4817-4092-9E18-81208F3F36E4}" name="法人／事業所数" dataCellStyle="桁区切り"/>
    <tableColumn id="15" xr3:uid="{0181B998-2569-4EBA-94FA-65B75DC0C2DE}" name="法人／構成比" dataDxfId="518"/>
    <tableColumn id="16" xr3:uid="{659D705B-BBC5-45F6-B2AA-494D3880AE56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EFC8FBD-6706-4852-A73E-B11136A0FE2F}" name="LTBL_13203" displayName="LTBL_13203" ref="B4:I20" totalsRowCount="1">
  <autoFilter ref="B4:I19" xr:uid="{6EFC8FBD-6706-4852-A73E-B11136A0FE2F}"/>
  <tableColumns count="8">
    <tableColumn id="9" xr3:uid="{F2B2720D-44DA-4F3E-B0C2-0176D91815A8}" name="産業大分類" totalsRowLabel="合計" totalsRowDxfId="517"/>
    <tableColumn id="10" xr3:uid="{4004DEF9-1EB9-43AF-80DA-693C64B5FBB9}" name="総数／事業所数" totalsRowFunction="custom" totalsRowDxfId="516" dataCellStyle="桁区切り" totalsRowCellStyle="桁区切り">
      <totalsRowFormula>SUM(LTBL_13203[総数／事業所数])</totalsRowFormula>
    </tableColumn>
    <tableColumn id="11" xr3:uid="{F62F8C8F-B5B9-4404-A066-B7E3F0FAAA51}" name="総数／構成比" dataDxfId="515"/>
    <tableColumn id="12" xr3:uid="{528DCBF6-79B0-4781-B8C5-B25B3D88E01D}" name="個人／事業所数" totalsRowFunction="sum" totalsRowDxfId="514" dataCellStyle="桁区切り" totalsRowCellStyle="桁区切り"/>
    <tableColumn id="13" xr3:uid="{3917BB2F-CFDA-41CE-AFCF-9830D805E60A}" name="個人／構成比" dataDxfId="513"/>
    <tableColumn id="14" xr3:uid="{A2C2CEB5-0142-4F77-A13C-87C1258AF956}" name="法人／事業所数" totalsRowFunction="sum" totalsRowDxfId="512" dataCellStyle="桁区切り" totalsRowCellStyle="桁区切り"/>
    <tableColumn id="15" xr3:uid="{D540512E-A738-4F3C-98D0-9C569E4C42CC}" name="法人／構成比" dataDxfId="511"/>
    <tableColumn id="16" xr3:uid="{250ED56D-F7C4-4E46-AFEC-43D0A2900270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3606BD4-D6C9-4A4F-A908-1844EB95147C}" name="M_TABLE_13203" displayName="M_TABLE_13203" ref="B23:I43" totalsRowShown="0">
  <autoFilter ref="B23:I43" xr:uid="{A3606BD4-D6C9-4A4F-A908-1844EB95147C}"/>
  <tableColumns count="8">
    <tableColumn id="9" xr3:uid="{AE4E6D60-87C8-453C-B20E-E19F670F2081}" name="産業中分類上位２０"/>
    <tableColumn id="10" xr3:uid="{3F2DA5F1-0807-4E83-AACE-26DFA7D540B1}" name="総数／事業所数" dataCellStyle="桁区切り"/>
    <tableColumn id="11" xr3:uid="{FF85BDDE-9E5D-4AD3-99FF-85DEE06A0D36}" name="総数／構成比" dataDxfId="509"/>
    <tableColumn id="12" xr3:uid="{1F383A66-7DEF-42CE-9B43-7EC5F68F343B}" name="個人／事業所数" dataCellStyle="桁区切り"/>
    <tableColumn id="13" xr3:uid="{C7FFB820-C867-4CB0-8305-E96CDA929BBF}" name="個人／構成比" dataDxfId="508"/>
    <tableColumn id="14" xr3:uid="{684A38AA-57D0-43D1-B6BC-8DCF539913E4}" name="法人／事業所数" dataCellStyle="桁区切り"/>
    <tableColumn id="15" xr3:uid="{0580FE36-E370-4919-A23E-2B320C726631}" name="法人／構成比" dataDxfId="507"/>
    <tableColumn id="16" xr3:uid="{779757A6-FC45-4E4E-8E4C-F8F0ECF30797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5CAEB29-F1F0-40A2-B5B3-C804D10C7C8F}" name="S_TABLE_13203" displayName="S_TABLE_13203" ref="B46:I66" totalsRowShown="0">
  <autoFilter ref="B46:I66" xr:uid="{65CAEB29-F1F0-40A2-B5B3-C804D10C7C8F}"/>
  <tableColumns count="8">
    <tableColumn id="9" xr3:uid="{4FED7677-FA37-4180-A5AE-15FE1FA62604}" name="産業小分類上位２０"/>
    <tableColumn id="10" xr3:uid="{1F0D4474-C16A-4A16-978C-16306B1A2DFA}" name="総数／事業所数" dataCellStyle="桁区切り"/>
    <tableColumn id="11" xr3:uid="{0C77E632-11A0-4C44-B1AF-1A1941049F55}" name="総数／構成比" dataDxfId="506"/>
    <tableColumn id="12" xr3:uid="{64C7E8C7-7BF1-4076-9B94-4AB763A4AF74}" name="個人／事業所数" dataCellStyle="桁区切り"/>
    <tableColumn id="13" xr3:uid="{B30EFBC8-346F-4AA4-903A-10E4E52CACE7}" name="個人／構成比" dataDxfId="505"/>
    <tableColumn id="14" xr3:uid="{7F40444F-0A0C-42B0-8DD6-16452C466636}" name="法人／事業所数" dataCellStyle="桁区切り"/>
    <tableColumn id="15" xr3:uid="{1B222335-ACA3-40AE-AAEA-7163CD7CA372}" name="法人／構成比" dataDxfId="504"/>
    <tableColumn id="16" xr3:uid="{2230EE22-EE4F-48DE-9D51-0D22D689501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E033F99A-DF9A-4F96-8C96-569E5A8DF149}" name="LTBL_13204" displayName="LTBL_13204" ref="B4:I20" totalsRowCount="1">
  <autoFilter ref="B4:I19" xr:uid="{E033F99A-DF9A-4F96-8C96-569E5A8DF149}"/>
  <tableColumns count="8">
    <tableColumn id="9" xr3:uid="{95792CC6-3C9D-49B4-BBAA-DE4BE23DD6D3}" name="産業大分類" totalsRowLabel="合計" totalsRowDxfId="503"/>
    <tableColumn id="10" xr3:uid="{AAA60D6A-7D8F-45E7-8D29-20C70D820B0A}" name="総数／事業所数" totalsRowFunction="custom" totalsRowDxfId="502" dataCellStyle="桁区切り" totalsRowCellStyle="桁区切り">
      <totalsRowFormula>SUM(LTBL_13204[総数／事業所数])</totalsRowFormula>
    </tableColumn>
    <tableColumn id="11" xr3:uid="{344B1A23-9338-4F17-BF04-91D2C300C773}" name="総数／構成比" dataDxfId="501"/>
    <tableColumn id="12" xr3:uid="{1E13F99D-E91D-48DE-8430-1594F0ABFC34}" name="個人／事業所数" totalsRowFunction="sum" totalsRowDxfId="500" dataCellStyle="桁区切り" totalsRowCellStyle="桁区切り"/>
    <tableColumn id="13" xr3:uid="{B75DBDA9-E133-4270-AB8D-259F4308836B}" name="個人／構成比" dataDxfId="499"/>
    <tableColumn id="14" xr3:uid="{EA625408-84A4-4373-8D52-8F84B5EFC0C0}" name="法人／事業所数" totalsRowFunction="sum" totalsRowDxfId="498" dataCellStyle="桁区切り" totalsRowCellStyle="桁区切り"/>
    <tableColumn id="15" xr3:uid="{7A7E7A8A-1E45-4D14-90EC-789B927BF6C1}" name="法人／構成比" dataDxfId="497"/>
    <tableColumn id="16" xr3:uid="{53FEA512-81B7-4779-8232-C7F92ABA6628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90DE0B7-BFF5-4D37-B6AA-D052BB7C038A}" name="M_TABLE_13204" displayName="M_TABLE_13204" ref="B23:I44" totalsRowShown="0">
  <autoFilter ref="B23:I44" xr:uid="{790DE0B7-BFF5-4D37-B6AA-D052BB7C038A}"/>
  <tableColumns count="8">
    <tableColumn id="9" xr3:uid="{7BA2086F-FC9E-4613-A474-759B41B2AAC3}" name="産業中分類上位２０"/>
    <tableColumn id="10" xr3:uid="{7CBBF7ED-24E2-45EF-9F81-B73A3726AA69}" name="総数／事業所数" dataCellStyle="桁区切り"/>
    <tableColumn id="11" xr3:uid="{A66218AD-2569-408C-9D0A-73EC4F142544}" name="総数／構成比" dataDxfId="495"/>
    <tableColumn id="12" xr3:uid="{6B660792-ABB0-4FFC-A894-E08EE5CD2AC3}" name="個人／事業所数" dataCellStyle="桁区切り"/>
    <tableColumn id="13" xr3:uid="{F0288FFB-F6F2-4CE1-BB92-88EEEBD07D1B}" name="個人／構成比" dataDxfId="494"/>
    <tableColumn id="14" xr3:uid="{6CB850C6-5ED5-4DF4-880B-EAEFF662A5B3}" name="法人／事業所数" dataCellStyle="桁区切り"/>
    <tableColumn id="15" xr3:uid="{641BD962-22EC-4988-98BE-552A0DA2A5B8}" name="法人／構成比" dataDxfId="493"/>
    <tableColumn id="16" xr3:uid="{3D8D15BD-5669-4F0A-BA1E-D9A2581A0F60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460CCA-0F3A-4072-8925-0E2CDDBED4C6}" name="S_TABLE_13101" displayName="S_TABLE_13101" ref="B46:I66" totalsRowShown="0">
  <autoFilter ref="B46:I66" xr:uid="{6E460CCA-0F3A-4072-8925-0E2CDDBED4C6}"/>
  <tableColumns count="8">
    <tableColumn id="9" xr3:uid="{D0B2DEDF-C9E1-4F66-AD18-FDB8A4E13C5A}" name="産業小分類上位２０"/>
    <tableColumn id="10" xr3:uid="{91D02863-E6FA-48DD-8A11-1C88DD2CF5B4}" name="総数／事業所数" dataCellStyle="桁区切り"/>
    <tableColumn id="11" xr3:uid="{43A47D23-5229-4AEC-BDFC-E56022776430}" name="総数／構成比" dataDxfId="870"/>
    <tableColumn id="12" xr3:uid="{89BF9F37-3402-4E40-B7C8-7797B7CDED65}" name="個人／事業所数" dataCellStyle="桁区切り"/>
    <tableColumn id="13" xr3:uid="{9986DA6A-D73A-4ACD-82F3-5E41A67D631A}" name="個人／構成比" dataDxfId="869"/>
    <tableColumn id="14" xr3:uid="{6D97581D-2A5C-4BF4-B698-05D4C421DE6E}" name="法人／事業所数" dataCellStyle="桁区切り"/>
    <tableColumn id="15" xr3:uid="{F9A29C55-BAE6-41B0-8680-0CBCDFF8B64B}" name="法人／構成比" dataDxfId="868"/>
    <tableColumn id="16" xr3:uid="{4091229C-8E97-4A41-B4C7-3035D954575C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1EB716A-335E-4E8A-9FC9-9A9515711FF3}" name="S_TABLE_13204" displayName="S_TABLE_13204" ref="B47:I67" totalsRowShown="0">
  <autoFilter ref="B47:I67" xr:uid="{D1EB716A-335E-4E8A-9FC9-9A9515711FF3}"/>
  <tableColumns count="8">
    <tableColumn id="9" xr3:uid="{4455677A-BF6C-4BB3-A5F2-1D48B0EC4394}" name="産業小分類上位２０"/>
    <tableColumn id="10" xr3:uid="{9E4BFAF0-0E25-4E80-9BFC-F17E6834688D}" name="総数／事業所数" dataCellStyle="桁区切り"/>
    <tableColumn id="11" xr3:uid="{DE2FD73D-9DEB-4164-8719-23135859DC94}" name="総数／構成比" dataDxfId="492"/>
    <tableColumn id="12" xr3:uid="{59CADDEF-BA49-4917-97B7-7C5D71295262}" name="個人／事業所数" dataCellStyle="桁区切り"/>
    <tableColumn id="13" xr3:uid="{FA0AA85B-687D-4E51-813B-33339024BBC8}" name="個人／構成比" dataDxfId="491"/>
    <tableColumn id="14" xr3:uid="{A2CA5F70-22F5-4FD3-9E6D-167DF758BCEF}" name="法人／事業所数" dataCellStyle="桁区切り"/>
    <tableColumn id="15" xr3:uid="{32028B85-4BD9-4CD5-974F-729B3B04368E}" name="法人／構成比" dataDxfId="490"/>
    <tableColumn id="16" xr3:uid="{4FB421F8-C85B-4CD6-90C8-58FA493F20B1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6EFEE04-1D60-44FB-9A7B-BDB5D4508473}" name="LTBL_13205" displayName="LTBL_13205" ref="B4:I20" totalsRowCount="1">
  <autoFilter ref="B4:I19" xr:uid="{86EFEE04-1D60-44FB-9A7B-BDB5D4508473}"/>
  <tableColumns count="8">
    <tableColumn id="9" xr3:uid="{E1E1811F-EB0A-4AC5-9C5F-18C5BA354FFF}" name="産業大分類" totalsRowLabel="合計" totalsRowDxfId="489"/>
    <tableColumn id="10" xr3:uid="{A635F233-7925-40DD-AB4E-7D0F8FA72609}" name="総数／事業所数" totalsRowFunction="custom" totalsRowDxfId="488" dataCellStyle="桁区切り" totalsRowCellStyle="桁区切り">
      <totalsRowFormula>SUM(LTBL_13205[総数／事業所数])</totalsRowFormula>
    </tableColumn>
    <tableColumn id="11" xr3:uid="{39A26C6F-395A-4811-BEC5-12E2A310B6EA}" name="総数／構成比" dataDxfId="487"/>
    <tableColumn id="12" xr3:uid="{7B92AA60-C31C-4F34-BAC7-1EAD21612BB7}" name="個人／事業所数" totalsRowFunction="sum" totalsRowDxfId="486" dataCellStyle="桁区切り" totalsRowCellStyle="桁区切り"/>
    <tableColumn id="13" xr3:uid="{19F46E22-5767-4A52-8130-6682E075E0F0}" name="個人／構成比" dataDxfId="485"/>
    <tableColumn id="14" xr3:uid="{1D62D8B2-F119-4A13-A81F-EDE9ECDB381C}" name="法人／事業所数" totalsRowFunction="sum" totalsRowDxfId="484" dataCellStyle="桁区切り" totalsRowCellStyle="桁区切り"/>
    <tableColumn id="15" xr3:uid="{011B3ACC-9FCD-4C0B-AB0C-6C6C567D7DB6}" name="法人／構成比" dataDxfId="483"/>
    <tableColumn id="16" xr3:uid="{A7247C83-872D-4EEA-B46B-990747007B8E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FE1B572-7634-4B0E-9B6A-586F013C4195}" name="M_TABLE_13205" displayName="M_TABLE_13205" ref="B23:I43" totalsRowShown="0">
  <autoFilter ref="B23:I43" xr:uid="{EFE1B572-7634-4B0E-9B6A-586F013C4195}"/>
  <tableColumns count="8">
    <tableColumn id="9" xr3:uid="{1B43EE43-0F90-43F8-9A58-9ED91E3C4686}" name="産業中分類上位２０"/>
    <tableColumn id="10" xr3:uid="{466CACD1-9FEC-4F44-980D-C43FB27EF94C}" name="総数／事業所数" dataCellStyle="桁区切り"/>
    <tableColumn id="11" xr3:uid="{EE5D1AC8-8801-4F50-A5E5-67271A6608FA}" name="総数／構成比" dataDxfId="481"/>
    <tableColumn id="12" xr3:uid="{78FFB334-A97C-4738-B0F0-341B9D24D68B}" name="個人／事業所数" dataCellStyle="桁区切り"/>
    <tableColumn id="13" xr3:uid="{78E26958-479D-47A1-8E51-E70B51B5F36D}" name="個人／構成比" dataDxfId="480"/>
    <tableColumn id="14" xr3:uid="{673DF286-EF9D-4A52-8136-ED57084D698F}" name="法人／事業所数" dataCellStyle="桁区切り"/>
    <tableColumn id="15" xr3:uid="{A4DEEB70-ED10-493D-9F49-10251A40697B}" name="法人／構成比" dataDxfId="479"/>
    <tableColumn id="16" xr3:uid="{8BB006DC-B556-4777-A5B8-081D108CDAAE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9D546CE-9E6C-432E-809F-5A42819E30C9}" name="S_TABLE_13205" displayName="S_TABLE_13205" ref="B46:I66" totalsRowShown="0">
  <autoFilter ref="B46:I66" xr:uid="{A9D546CE-9E6C-432E-809F-5A42819E30C9}"/>
  <tableColumns count="8">
    <tableColumn id="9" xr3:uid="{E1484D75-B352-4229-9896-FFBB75D928B0}" name="産業小分類上位２０"/>
    <tableColumn id="10" xr3:uid="{F0ACD2B1-AF9D-4A68-9B73-AFE358C87F2E}" name="総数／事業所数" dataCellStyle="桁区切り"/>
    <tableColumn id="11" xr3:uid="{1AB0D145-AEAA-4939-962F-0BF59E7C7A58}" name="総数／構成比" dataDxfId="478"/>
    <tableColumn id="12" xr3:uid="{444518B1-59F9-4B8A-A912-C7A77F56B9F8}" name="個人／事業所数" dataCellStyle="桁区切り"/>
    <tableColumn id="13" xr3:uid="{F91A684F-300A-40A2-895B-AA0362B1A047}" name="個人／構成比" dataDxfId="477"/>
    <tableColumn id="14" xr3:uid="{897C7EB1-E501-45BF-BEFC-6D621A878B92}" name="法人／事業所数" dataCellStyle="桁区切り"/>
    <tableColumn id="15" xr3:uid="{BF4012DF-FCAA-44CD-A43E-5C2E4EADEAA3}" name="法人／構成比" dataDxfId="476"/>
    <tableColumn id="16" xr3:uid="{33DE7AF6-8DC3-4A3D-AC78-00BE33312524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2475B03-8614-4707-BEF8-7F2C9A37744B}" name="LTBL_13206" displayName="LTBL_13206" ref="B4:I20" totalsRowCount="1">
  <autoFilter ref="B4:I19" xr:uid="{72475B03-8614-4707-BEF8-7F2C9A37744B}"/>
  <tableColumns count="8">
    <tableColumn id="9" xr3:uid="{EA6F9A25-267F-43EC-BA33-19CA4D7926E8}" name="産業大分類" totalsRowLabel="合計" totalsRowDxfId="475"/>
    <tableColumn id="10" xr3:uid="{847579D9-AC63-4847-B81C-AC98F5C34F2B}" name="総数／事業所数" totalsRowFunction="custom" totalsRowDxfId="474" dataCellStyle="桁区切り" totalsRowCellStyle="桁区切り">
      <totalsRowFormula>SUM(LTBL_13206[総数／事業所数])</totalsRowFormula>
    </tableColumn>
    <tableColumn id="11" xr3:uid="{3C6B3F10-9F9E-4918-9395-93F36D34604C}" name="総数／構成比" dataDxfId="473"/>
    <tableColumn id="12" xr3:uid="{F4C683E6-29E0-403B-BB91-3FFB0BA83E67}" name="個人／事業所数" totalsRowFunction="sum" totalsRowDxfId="472" dataCellStyle="桁区切り" totalsRowCellStyle="桁区切り"/>
    <tableColumn id="13" xr3:uid="{9D303BBB-4C89-4C7B-87BF-8873B899BB8C}" name="個人／構成比" dataDxfId="471"/>
    <tableColumn id="14" xr3:uid="{9905413B-D66D-4135-B50E-3ABBAAAF97DA}" name="法人／事業所数" totalsRowFunction="sum" totalsRowDxfId="470" dataCellStyle="桁区切り" totalsRowCellStyle="桁区切り"/>
    <tableColumn id="15" xr3:uid="{B60A37F8-5C7A-419B-9229-1A3DE27A7A61}" name="法人／構成比" dataDxfId="469"/>
    <tableColumn id="16" xr3:uid="{56E38127-F457-4F1D-8B01-B68EE8F81CFA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F8B78EE-2AD7-4B84-8E3D-05B3DBB9FD24}" name="M_TABLE_13206" displayName="M_TABLE_13206" ref="B23:I43" totalsRowShown="0">
  <autoFilter ref="B23:I43" xr:uid="{5F8B78EE-2AD7-4B84-8E3D-05B3DBB9FD24}"/>
  <tableColumns count="8">
    <tableColumn id="9" xr3:uid="{EF9FBDE7-DB95-4BEA-A05B-FA938D482C02}" name="産業中分類上位２０"/>
    <tableColumn id="10" xr3:uid="{F5283AD5-0779-4030-A1AE-E10C6D709F40}" name="総数／事業所数" dataCellStyle="桁区切り"/>
    <tableColumn id="11" xr3:uid="{05BD7A50-3089-4C38-B352-C2B6B8175453}" name="総数／構成比" dataDxfId="467"/>
    <tableColumn id="12" xr3:uid="{ECBEAF5A-F018-44AA-AA99-4C5F726068AB}" name="個人／事業所数" dataCellStyle="桁区切り"/>
    <tableColumn id="13" xr3:uid="{BE81626E-231D-4AE9-8EBD-BF42F9C08FB0}" name="個人／構成比" dataDxfId="466"/>
    <tableColumn id="14" xr3:uid="{B4097825-BC59-40A3-9762-863767586488}" name="法人／事業所数" dataCellStyle="桁区切り"/>
    <tableColumn id="15" xr3:uid="{321DC346-0DF7-49A9-A324-87B65F358CF2}" name="法人／構成比" dataDxfId="465"/>
    <tableColumn id="16" xr3:uid="{30B9A952-8E78-429D-97F0-689275867D34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7EE811B-A1E1-4A43-86ED-94859714C942}" name="S_TABLE_13206" displayName="S_TABLE_13206" ref="B46:I66" totalsRowShown="0">
  <autoFilter ref="B46:I66" xr:uid="{D7EE811B-A1E1-4A43-86ED-94859714C942}"/>
  <tableColumns count="8">
    <tableColumn id="9" xr3:uid="{7727D13D-B43F-4555-B3B1-9DFF59064EDD}" name="産業小分類上位２０"/>
    <tableColumn id="10" xr3:uid="{FD40E172-CEDB-46D3-9D78-09AA171FDC98}" name="総数／事業所数" dataCellStyle="桁区切り"/>
    <tableColumn id="11" xr3:uid="{5C23968B-0181-4CEA-B904-B95D90C77363}" name="総数／構成比" dataDxfId="464"/>
    <tableColumn id="12" xr3:uid="{FB450EC7-A5D9-4A4C-9001-37A2581AC40E}" name="個人／事業所数" dataCellStyle="桁区切り"/>
    <tableColumn id="13" xr3:uid="{849AAE76-0279-43FB-B4DD-D27BF3A7450D}" name="個人／構成比" dataDxfId="463"/>
    <tableColumn id="14" xr3:uid="{7CA4CB9F-6190-4D6E-9242-DCCD24BD803D}" name="法人／事業所数" dataCellStyle="桁区切り"/>
    <tableColumn id="15" xr3:uid="{7609A4E3-FB0F-413E-BDC9-B612ADBBFBA3}" name="法人／構成比" dataDxfId="462"/>
    <tableColumn id="16" xr3:uid="{EBE5A1AC-87BD-460A-9BF2-BA1A3C97D877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47A250C-D4C9-4FD4-853E-DDC35536D342}" name="LTBL_13207" displayName="LTBL_13207" ref="B4:I20" totalsRowCount="1">
  <autoFilter ref="B4:I19" xr:uid="{747A250C-D4C9-4FD4-853E-DDC35536D342}"/>
  <tableColumns count="8">
    <tableColumn id="9" xr3:uid="{700EDB67-3C9A-425C-9FFD-8C7C0C2C6C7A}" name="産業大分類" totalsRowLabel="合計" totalsRowDxfId="461"/>
    <tableColumn id="10" xr3:uid="{A4606892-66FA-4B54-9CE8-41690DDC9088}" name="総数／事業所数" totalsRowFunction="custom" totalsRowDxfId="460" dataCellStyle="桁区切り" totalsRowCellStyle="桁区切り">
      <totalsRowFormula>SUM(LTBL_13207[総数／事業所数])</totalsRowFormula>
    </tableColumn>
    <tableColumn id="11" xr3:uid="{AF5515FF-1EA1-417B-AF02-304D5857A8A3}" name="総数／構成比" dataDxfId="459"/>
    <tableColumn id="12" xr3:uid="{6514DBC0-E518-4A53-832B-E8A950763FD5}" name="個人／事業所数" totalsRowFunction="sum" totalsRowDxfId="458" dataCellStyle="桁区切り" totalsRowCellStyle="桁区切り"/>
    <tableColumn id="13" xr3:uid="{D34398C9-F11A-4981-9BFA-1EFB42667710}" name="個人／構成比" dataDxfId="457"/>
    <tableColumn id="14" xr3:uid="{B427BFA0-E930-42B5-83C8-B30E77963093}" name="法人／事業所数" totalsRowFunction="sum" totalsRowDxfId="456" dataCellStyle="桁区切り" totalsRowCellStyle="桁区切り"/>
    <tableColumn id="15" xr3:uid="{49B8215D-1611-4A88-A5C1-53381CDAC0BC}" name="法人／構成比" dataDxfId="455"/>
    <tableColumn id="16" xr3:uid="{E22F9211-E61C-48EC-95A8-B1DFE2EF4BB0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A6A8027-3F0F-401E-8131-FD0E47D39DF3}" name="M_TABLE_13207" displayName="M_TABLE_13207" ref="B23:I43" totalsRowShown="0">
  <autoFilter ref="B23:I43" xr:uid="{FA6A8027-3F0F-401E-8131-FD0E47D39DF3}"/>
  <tableColumns count="8">
    <tableColumn id="9" xr3:uid="{9273C332-07C2-4F87-8C8A-2326E6E9A3EE}" name="産業中分類上位２０"/>
    <tableColumn id="10" xr3:uid="{C9976432-3B93-43D5-8FEE-E64E248BC7C4}" name="総数／事業所数" dataCellStyle="桁区切り"/>
    <tableColumn id="11" xr3:uid="{CC964A68-8B08-4C90-BD08-C95E58A0753B}" name="総数／構成比" dataDxfId="453"/>
    <tableColumn id="12" xr3:uid="{2036E077-A61A-4503-B8AE-D86FEEA9CA30}" name="個人／事業所数" dataCellStyle="桁区切り"/>
    <tableColumn id="13" xr3:uid="{7629961C-2E01-4FE1-B719-CFB5652A052F}" name="個人／構成比" dataDxfId="452"/>
    <tableColumn id="14" xr3:uid="{235B8DC3-501E-4928-81EE-1C31CBBFE9C6}" name="法人／事業所数" dataCellStyle="桁区切り"/>
    <tableColumn id="15" xr3:uid="{267E9F98-6655-4A18-9F33-8F2CF3B03D8D}" name="法人／構成比" dataDxfId="451"/>
    <tableColumn id="16" xr3:uid="{A8BD4309-17FC-4238-8548-52527C8A96AF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78908FD4-794C-4D33-929F-D3D98AAE62A0}" name="S_TABLE_13207" displayName="S_TABLE_13207" ref="B46:I68" totalsRowShown="0">
  <autoFilter ref="B46:I68" xr:uid="{78908FD4-794C-4D33-929F-D3D98AAE62A0}"/>
  <tableColumns count="8">
    <tableColumn id="9" xr3:uid="{0C728E24-7A37-4041-AF68-7C546091A975}" name="産業小分類上位２０"/>
    <tableColumn id="10" xr3:uid="{59A1848F-88E9-4FE5-83AF-70F1E723A551}" name="総数／事業所数" dataCellStyle="桁区切り"/>
    <tableColumn id="11" xr3:uid="{AAE3AE67-3FB4-4C25-B70E-6FBD58622EAC}" name="総数／構成比" dataDxfId="450"/>
    <tableColumn id="12" xr3:uid="{B4CD2E0B-8695-4DDD-A336-C16B3F0A4671}" name="個人／事業所数" dataCellStyle="桁区切り"/>
    <tableColumn id="13" xr3:uid="{891D4683-CA00-433C-B4A8-2EA06F6E6B33}" name="個人／構成比" dataDxfId="449"/>
    <tableColumn id="14" xr3:uid="{813B298A-19FA-4EDE-83DF-4AB7761C0A5C}" name="法人／事業所数" dataCellStyle="桁区切り"/>
    <tableColumn id="15" xr3:uid="{04DCF611-3E3E-4818-B823-146C5F4EF0BE}" name="法人／構成比" dataDxfId="448"/>
    <tableColumn id="16" xr3:uid="{C369CEC6-09C8-46F7-AB97-21FA164E54DB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8.xml"/><Relationship Id="rId2" Type="http://schemas.openxmlformats.org/officeDocument/2006/relationships/table" Target="../tables/table187.xml"/><Relationship Id="rId1" Type="http://schemas.openxmlformats.org/officeDocument/2006/relationships/printerSettings" Target="../printerSettings/printerSettings66.bin"/><Relationship Id="rId4" Type="http://schemas.openxmlformats.org/officeDocument/2006/relationships/table" Target="../tables/table189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1.xml"/><Relationship Id="rId2" Type="http://schemas.openxmlformats.org/officeDocument/2006/relationships/table" Target="../tables/table190.xml"/><Relationship Id="rId1" Type="http://schemas.openxmlformats.org/officeDocument/2006/relationships/printerSettings" Target="../printerSettings/printerSettings67.bin"/><Relationship Id="rId4" Type="http://schemas.openxmlformats.org/officeDocument/2006/relationships/table" Target="../tables/table192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68.bin"/><Relationship Id="rId4" Type="http://schemas.openxmlformats.org/officeDocument/2006/relationships/table" Target="../tables/table1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68DE-DA59-4726-99B3-42CF94E2EAA6}">
  <dimension ref="A1:B69"/>
  <sheetViews>
    <sheetView tabSelected="1" workbookViewId="0"/>
  </sheetViews>
  <sheetFormatPr defaultRowHeight="13.2" x14ac:dyDescent="0.2"/>
  <sheetData>
    <row r="1" spans="1:2" x14ac:dyDescent="0.2">
      <c r="A1" t="s">
        <v>413</v>
      </c>
    </row>
    <row r="2" spans="1:2" x14ac:dyDescent="0.2">
      <c r="B2" s="13" t="s">
        <v>279</v>
      </c>
    </row>
    <row r="3" spans="1:2" x14ac:dyDescent="0.2">
      <c r="B3" s="13" t="s">
        <v>156</v>
      </c>
    </row>
    <row r="4" spans="1:2" x14ac:dyDescent="0.2">
      <c r="B4" s="13" t="s">
        <v>277</v>
      </c>
    </row>
    <row r="5" spans="1:2" x14ac:dyDescent="0.2">
      <c r="B5" s="13" t="s">
        <v>348</v>
      </c>
    </row>
    <row r="6" spans="1:2" x14ac:dyDescent="0.2">
      <c r="B6" s="13" t="s">
        <v>349</v>
      </c>
    </row>
    <row r="7" spans="1:2" x14ac:dyDescent="0.2">
      <c r="B7" s="13" t="s">
        <v>350</v>
      </c>
    </row>
    <row r="8" spans="1:2" x14ac:dyDescent="0.2">
      <c r="B8" s="13" t="s">
        <v>351</v>
      </c>
    </row>
    <row r="9" spans="1:2" x14ac:dyDescent="0.2">
      <c r="B9" s="13" t="s">
        <v>352</v>
      </c>
    </row>
    <row r="10" spans="1:2" x14ac:dyDescent="0.2">
      <c r="B10" s="13" t="s">
        <v>353</v>
      </c>
    </row>
    <row r="11" spans="1:2" x14ac:dyDescent="0.2">
      <c r="B11" s="13" t="s">
        <v>354</v>
      </c>
    </row>
    <row r="12" spans="1:2" x14ac:dyDescent="0.2">
      <c r="B12" s="13" t="s">
        <v>355</v>
      </c>
    </row>
    <row r="13" spans="1:2" x14ac:dyDescent="0.2">
      <c r="B13" s="13" t="s">
        <v>356</v>
      </c>
    </row>
    <row r="14" spans="1:2" x14ac:dyDescent="0.2">
      <c r="B14" s="13" t="s">
        <v>357</v>
      </c>
    </row>
    <row r="15" spans="1:2" x14ac:dyDescent="0.2">
      <c r="B15" s="13" t="s">
        <v>358</v>
      </c>
    </row>
    <row r="16" spans="1:2" x14ac:dyDescent="0.2">
      <c r="B16" s="13" t="s">
        <v>359</v>
      </c>
    </row>
    <row r="17" spans="2:2" x14ac:dyDescent="0.2">
      <c r="B17" s="13" t="s">
        <v>360</v>
      </c>
    </row>
    <row r="18" spans="2:2" x14ac:dyDescent="0.2">
      <c r="B18" s="13" t="s">
        <v>361</v>
      </c>
    </row>
    <row r="19" spans="2:2" x14ac:dyDescent="0.2">
      <c r="B19" s="13" t="s">
        <v>362</v>
      </c>
    </row>
    <row r="20" spans="2:2" x14ac:dyDescent="0.2">
      <c r="B20" s="13" t="s">
        <v>363</v>
      </c>
    </row>
    <row r="21" spans="2:2" x14ac:dyDescent="0.2">
      <c r="B21" s="13" t="s">
        <v>364</v>
      </c>
    </row>
    <row r="22" spans="2:2" x14ac:dyDescent="0.2">
      <c r="B22" s="13" t="s">
        <v>365</v>
      </c>
    </row>
    <row r="23" spans="2:2" x14ac:dyDescent="0.2">
      <c r="B23" s="13" t="s">
        <v>366</v>
      </c>
    </row>
    <row r="24" spans="2:2" x14ac:dyDescent="0.2">
      <c r="B24" s="13" t="s">
        <v>367</v>
      </c>
    </row>
    <row r="25" spans="2:2" x14ac:dyDescent="0.2">
      <c r="B25" s="13" t="s">
        <v>368</v>
      </c>
    </row>
    <row r="26" spans="2:2" x14ac:dyDescent="0.2">
      <c r="B26" s="13" t="s">
        <v>369</v>
      </c>
    </row>
    <row r="27" spans="2:2" x14ac:dyDescent="0.2">
      <c r="B27" s="13" t="s">
        <v>370</v>
      </c>
    </row>
    <row r="28" spans="2:2" x14ac:dyDescent="0.2">
      <c r="B28" s="13" t="s">
        <v>371</v>
      </c>
    </row>
    <row r="29" spans="2:2" x14ac:dyDescent="0.2">
      <c r="B29" s="13" t="s">
        <v>372</v>
      </c>
    </row>
    <row r="30" spans="2:2" x14ac:dyDescent="0.2">
      <c r="B30" s="13" t="s">
        <v>373</v>
      </c>
    </row>
    <row r="31" spans="2:2" x14ac:dyDescent="0.2">
      <c r="B31" s="13" t="s">
        <v>374</v>
      </c>
    </row>
    <row r="32" spans="2:2" x14ac:dyDescent="0.2">
      <c r="B32" s="13" t="s">
        <v>375</v>
      </c>
    </row>
    <row r="33" spans="2:2" x14ac:dyDescent="0.2">
      <c r="B33" s="13" t="s">
        <v>376</v>
      </c>
    </row>
    <row r="34" spans="2:2" x14ac:dyDescent="0.2">
      <c r="B34" s="13" t="s">
        <v>377</v>
      </c>
    </row>
    <row r="35" spans="2:2" x14ac:dyDescent="0.2">
      <c r="B35" s="13" t="s">
        <v>378</v>
      </c>
    </row>
    <row r="36" spans="2:2" x14ac:dyDescent="0.2">
      <c r="B36" s="13" t="s">
        <v>379</v>
      </c>
    </row>
    <row r="37" spans="2:2" x14ac:dyDescent="0.2">
      <c r="B37" s="13" t="s">
        <v>380</v>
      </c>
    </row>
    <row r="38" spans="2:2" x14ac:dyDescent="0.2">
      <c r="B38" s="13" t="s">
        <v>381</v>
      </c>
    </row>
    <row r="39" spans="2:2" x14ac:dyDescent="0.2">
      <c r="B39" s="13" t="s">
        <v>382</v>
      </c>
    </row>
    <row r="40" spans="2:2" x14ac:dyDescent="0.2">
      <c r="B40" s="13" t="s">
        <v>383</v>
      </c>
    </row>
    <row r="41" spans="2:2" x14ac:dyDescent="0.2">
      <c r="B41" s="13" t="s">
        <v>384</v>
      </c>
    </row>
    <row r="42" spans="2:2" x14ac:dyDescent="0.2">
      <c r="B42" s="13" t="s">
        <v>385</v>
      </c>
    </row>
    <row r="43" spans="2:2" x14ac:dyDescent="0.2">
      <c r="B43" s="13" t="s">
        <v>386</v>
      </c>
    </row>
    <row r="44" spans="2:2" x14ac:dyDescent="0.2">
      <c r="B44" s="13" t="s">
        <v>387</v>
      </c>
    </row>
    <row r="45" spans="2:2" x14ac:dyDescent="0.2">
      <c r="B45" s="13" t="s">
        <v>388</v>
      </c>
    </row>
    <row r="46" spans="2:2" x14ac:dyDescent="0.2">
      <c r="B46" s="13" t="s">
        <v>389</v>
      </c>
    </row>
    <row r="47" spans="2:2" x14ac:dyDescent="0.2">
      <c r="B47" s="13" t="s">
        <v>390</v>
      </c>
    </row>
    <row r="48" spans="2:2" x14ac:dyDescent="0.2">
      <c r="B48" s="13" t="s">
        <v>391</v>
      </c>
    </row>
    <row r="49" spans="2:2" x14ac:dyDescent="0.2">
      <c r="B49" s="13" t="s">
        <v>392</v>
      </c>
    </row>
    <row r="50" spans="2:2" x14ac:dyDescent="0.2">
      <c r="B50" s="13" t="s">
        <v>393</v>
      </c>
    </row>
    <row r="51" spans="2:2" x14ac:dyDescent="0.2">
      <c r="B51" s="13" t="s">
        <v>394</v>
      </c>
    </row>
    <row r="52" spans="2:2" x14ac:dyDescent="0.2">
      <c r="B52" s="13" t="s">
        <v>395</v>
      </c>
    </row>
    <row r="53" spans="2:2" x14ac:dyDescent="0.2">
      <c r="B53" s="13" t="s">
        <v>396</v>
      </c>
    </row>
    <row r="54" spans="2:2" x14ac:dyDescent="0.2">
      <c r="B54" s="13" t="s">
        <v>397</v>
      </c>
    </row>
    <row r="55" spans="2:2" x14ac:dyDescent="0.2">
      <c r="B55" s="13" t="s">
        <v>398</v>
      </c>
    </row>
    <row r="56" spans="2:2" x14ac:dyDescent="0.2">
      <c r="B56" s="13" t="s">
        <v>399</v>
      </c>
    </row>
    <row r="57" spans="2:2" x14ac:dyDescent="0.2">
      <c r="B57" s="13" t="s">
        <v>400</v>
      </c>
    </row>
    <row r="58" spans="2:2" x14ac:dyDescent="0.2">
      <c r="B58" s="13" t="s">
        <v>401</v>
      </c>
    </row>
    <row r="59" spans="2:2" x14ac:dyDescent="0.2">
      <c r="B59" s="13" t="s">
        <v>402</v>
      </c>
    </row>
    <row r="60" spans="2:2" x14ac:dyDescent="0.2">
      <c r="B60" s="13" t="s">
        <v>403</v>
      </c>
    </row>
    <row r="61" spans="2:2" x14ac:dyDescent="0.2">
      <c r="B61" s="13" t="s">
        <v>404</v>
      </c>
    </row>
    <row r="62" spans="2:2" x14ac:dyDescent="0.2">
      <c r="B62" s="13" t="s">
        <v>405</v>
      </c>
    </row>
    <row r="63" spans="2:2" x14ac:dyDescent="0.2">
      <c r="B63" s="13" t="s">
        <v>406</v>
      </c>
    </row>
    <row r="64" spans="2:2" x14ac:dyDescent="0.2">
      <c r="B64" s="13" t="s">
        <v>407</v>
      </c>
    </row>
    <row r="65" spans="2:2" x14ac:dyDescent="0.2">
      <c r="B65" s="13" t="s">
        <v>408</v>
      </c>
    </row>
    <row r="66" spans="2:2" x14ac:dyDescent="0.2">
      <c r="B66" s="13" t="s">
        <v>409</v>
      </c>
    </row>
    <row r="67" spans="2:2" x14ac:dyDescent="0.2">
      <c r="B67" s="13" t="s">
        <v>410</v>
      </c>
    </row>
    <row r="68" spans="2:2" x14ac:dyDescent="0.2">
      <c r="B68" s="13" t="s">
        <v>411</v>
      </c>
    </row>
    <row r="69" spans="2:2" x14ac:dyDescent="0.2">
      <c r="B69" s="13" t="s">
        <v>412</v>
      </c>
    </row>
  </sheetData>
  <phoneticPr fontId="1"/>
  <hyperlinks>
    <hyperlink ref="B2" location="'産業大分類'!a1" display="産業大分類" xr:uid="{C65CE62C-436C-485D-B10B-785840DD84E4}"/>
    <hyperlink ref="B3" location="'産業中分類'!a1" display="産業中分類" xr:uid="{4BFEEF9B-3F01-4E8A-B789-C0B5D9C4B419}"/>
    <hyperlink ref="B4" location="'産業小分類'!a1" display="産業小分類" xr:uid="{CFA5FD02-DE06-404A-BAA0-08F6CBC9D22D}"/>
    <hyperlink ref="B5" location="'東京都'!a1" display="東京都" xr:uid="{A5560B7C-E160-48F5-81D0-6148F9F6D44D}"/>
    <hyperlink ref="B6" location="'特別区部'!a1" display="特別区部" xr:uid="{DCB56AB5-0196-44CC-9D73-9BFC26599B5A}"/>
    <hyperlink ref="B7" location="'千代田区'!a1" display="千代田区" xr:uid="{A60FAE07-4E6C-4742-99B6-501070606B39}"/>
    <hyperlink ref="B8" location="'中央区'!a1" display="中央区" xr:uid="{94D64312-C1D6-48B3-BC1A-8BD42D10A374}"/>
    <hyperlink ref="B9" location="'港区'!a1" display="港区" xr:uid="{79475194-7431-486E-A4C3-529C0AFF6325}"/>
    <hyperlink ref="B10" location="'新宿区'!a1" display="新宿区" xr:uid="{B62C1403-F06E-4184-9D3C-F9EBB24FFB35}"/>
    <hyperlink ref="B11" location="'文京区'!a1" display="文京区" xr:uid="{29EAEEC3-B49F-4009-B16F-6ADC1B3FDA6F}"/>
    <hyperlink ref="B12" location="'台東区'!a1" display="台東区" xr:uid="{A8C4E2F7-2E64-412A-8C9B-C8833A1ECC87}"/>
    <hyperlink ref="B13" location="'墨田区'!a1" display="墨田区" xr:uid="{B6C41CF8-6A6B-4F87-9FEC-755B28961E85}"/>
    <hyperlink ref="B14" location="'江東区'!a1" display="江東区" xr:uid="{48651F02-7DA5-4E1E-9C5D-027DEDF986A7}"/>
    <hyperlink ref="B15" location="'品川区'!a1" display="品川区" xr:uid="{0D8540D0-59CE-479F-82B0-AE7679F30043}"/>
    <hyperlink ref="B16" location="'目黒区'!a1" display="目黒区" xr:uid="{5C7203B1-E553-4B1E-AAAE-59C99EB25B52}"/>
    <hyperlink ref="B17" location="'大田区'!a1" display="大田区" xr:uid="{4BC93955-64A9-4567-B9AD-8CF69F520DE1}"/>
    <hyperlink ref="B18" location="'世田谷区'!a1" display="世田谷区" xr:uid="{BB7C7C8E-CD77-4188-AD90-D3AA7AB52A5B}"/>
    <hyperlink ref="B19" location="'渋谷区'!a1" display="渋谷区" xr:uid="{E925561B-F71D-4AF9-B5C0-C4DE70EDC8A9}"/>
    <hyperlink ref="B20" location="'中野区'!a1" display="中野区" xr:uid="{4F23E939-0839-4353-A00F-95900DEBE730}"/>
    <hyperlink ref="B21" location="'杉並区'!a1" display="杉並区" xr:uid="{6B8949F8-B629-4698-A3C4-4C1EB026AB0D}"/>
    <hyperlink ref="B22" location="'豊島区'!a1" display="豊島区" xr:uid="{DF334DF0-E641-4459-8D2F-547EBE4FF050}"/>
    <hyperlink ref="B23" location="'北区'!a1" display="北区" xr:uid="{0578AD7E-C2ED-4833-AEB4-DD69D8C7DD42}"/>
    <hyperlink ref="B24" location="'荒川区'!a1" display="荒川区" xr:uid="{2B6411C6-7F6A-4F44-B41C-F0264A97C8E3}"/>
    <hyperlink ref="B25" location="'板橋区'!a1" display="板橋区" xr:uid="{0E7C7CFC-3F67-45A1-A5DF-BFC17E81F917}"/>
    <hyperlink ref="B26" location="'練馬区'!a1" display="練馬区" xr:uid="{5FFF68ED-D8E1-4FE8-A1A5-7C83EC1C4566}"/>
    <hyperlink ref="B27" location="'足立区'!a1" display="足立区" xr:uid="{F0191C26-C24F-46FE-8CBD-2FF5F9753C2B}"/>
    <hyperlink ref="B28" location="'葛飾区'!a1" display="葛飾区" xr:uid="{5F1594DD-14E3-4434-9775-DCBD34BC7F65}"/>
    <hyperlink ref="B29" location="'江戸川区'!a1" display="江戸川区" xr:uid="{7C1BE5E7-8ACD-4A9A-AF3C-4BE674D5A158}"/>
    <hyperlink ref="B30" location="'境界未定地域'!a1" display="境界未定地域" xr:uid="{B482A0F2-6F3E-417A-9866-AC3A571BDB03}"/>
    <hyperlink ref="B31" location="'八王子市'!a1" display="八王子市" xr:uid="{694488F1-A639-4DC2-B2B0-210EDB86CA2A}"/>
    <hyperlink ref="B32" location="'立川市'!a1" display="立川市" xr:uid="{FF9A3F35-DC90-484B-914C-4B899D8C05B9}"/>
    <hyperlink ref="B33" location="'武蔵野市'!a1" display="武蔵野市" xr:uid="{0B5A0496-80CD-486A-BB8D-2E79762CDC1E}"/>
    <hyperlink ref="B34" location="'三鷹市'!a1" display="三鷹市" xr:uid="{73638C0C-2B51-4E6C-A00C-3208A86A1361}"/>
    <hyperlink ref="B35" location="'青梅市'!a1" display="青梅市" xr:uid="{9FBD7A11-7A95-4299-8F70-AB7A9DC5AE16}"/>
    <hyperlink ref="B36" location="'府中市'!a1" display="府中市" xr:uid="{2E8E77C2-EEF2-45D5-8AB2-BF86A5CC870F}"/>
    <hyperlink ref="B37" location="'昭島市'!a1" display="昭島市" xr:uid="{9F928459-D956-4EEB-A850-BA0991077884}"/>
    <hyperlink ref="B38" location="'調布市'!a1" display="調布市" xr:uid="{FDC723C9-0B46-4FA0-BFFA-1109457DA7E5}"/>
    <hyperlink ref="B39" location="'町田市'!a1" display="町田市" xr:uid="{F9B26A8F-E74E-4A65-AEC3-9F130814FD47}"/>
    <hyperlink ref="B40" location="'小金井市'!a1" display="小金井市" xr:uid="{39C85718-9D21-4A56-AF71-88C02AE3ECA5}"/>
    <hyperlink ref="B41" location="'小平市'!a1" display="小平市" xr:uid="{396701AC-52A8-4BF1-AF36-A77FD3986B8B}"/>
    <hyperlink ref="B42" location="'日野市'!a1" display="日野市" xr:uid="{D260F8A0-FC23-4873-864D-B8BD28A6B8FB}"/>
    <hyperlink ref="B43" location="'東村山市'!a1" display="東村山市" xr:uid="{48229BA0-E36C-49D4-A1E4-3A4A1A309D50}"/>
    <hyperlink ref="B44" location="'国分寺市'!a1" display="国分寺市" xr:uid="{A3A8104D-5314-493A-81FB-4581F6EBF8AE}"/>
    <hyperlink ref="B45" location="'国立市'!a1" display="国立市" xr:uid="{A30883DE-A689-449E-AD1D-290A94E17B2B}"/>
    <hyperlink ref="B46" location="'福生市'!a1" display="福生市" xr:uid="{9E0A1E0E-4667-4AFA-A798-C8F3F7F2D783}"/>
    <hyperlink ref="B47" location="'狛江市'!a1" display="狛江市" xr:uid="{13073239-347F-4B12-94D6-7FC09B1EDA41}"/>
    <hyperlink ref="B48" location="'東大和市'!a1" display="東大和市" xr:uid="{2A863009-2C3C-460F-B96C-2F4A0EE1AB35}"/>
    <hyperlink ref="B49" location="'清瀬市'!a1" display="清瀬市" xr:uid="{DE9711FE-2D2F-4599-9F3D-52455881202E}"/>
    <hyperlink ref="B50" location="'東久留米市'!a1" display="東久留米市" xr:uid="{8F07A191-0229-4BA1-AF00-DA9D54FFE542}"/>
    <hyperlink ref="B51" location="'武蔵村山市'!a1" display="武蔵村山市" xr:uid="{EC8617C3-9C2B-42C8-BDCF-E9DAB82E9516}"/>
    <hyperlink ref="B52" location="'多摩市'!a1" display="多摩市" xr:uid="{2F7A81A9-535D-4A6F-8C5C-3A2E9581081E}"/>
    <hyperlink ref="B53" location="'稲城市'!a1" display="稲城市" xr:uid="{20C9613C-376D-4657-8D5A-DA7C9E6CF2AE}"/>
    <hyperlink ref="B54" location="'羽村市'!a1" display="羽村市" xr:uid="{0B126150-BABC-42AC-BE21-F6E57CACA569}"/>
    <hyperlink ref="B55" location="'あきる野市'!a1" display="あきる野市" xr:uid="{005416C3-340C-48F6-A411-AA80CA8D0DF3}"/>
    <hyperlink ref="B56" location="'西東京市'!a1" display="西東京市" xr:uid="{C6D6EA41-04AC-4995-BF37-57E973DBB987}"/>
    <hyperlink ref="B57" location="'西多摩郡瑞穂町'!a1" display="西多摩郡瑞穂町" xr:uid="{3576AFC4-0F54-46DE-BB0D-5BAD7280DF59}"/>
    <hyperlink ref="B58" location="'西多摩郡日の出町'!a1" display="西多摩郡日の出町" xr:uid="{256AD65A-A831-43DF-9D45-C4F2ABE7D719}"/>
    <hyperlink ref="B59" location="'西多摩郡檜原村'!a1" display="西多摩郡檜原村" xr:uid="{7F18675F-CB96-4918-BD54-22770FD012E4}"/>
    <hyperlink ref="B60" location="'西多摩郡奥多摩町'!a1" display="西多摩郡奥多摩町" xr:uid="{EA896472-7D3A-4B59-88B8-9234A46637A0}"/>
    <hyperlink ref="B61" location="'大島支庁大島町'!a1" display="大島支庁大島町" xr:uid="{3A37E302-F2A2-458B-ACB6-7119D0D2A1CB}"/>
    <hyperlink ref="B62" location="'大島支庁利島村'!a1" display="大島支庁利島村" xr:uid="{57094448-8446-4E7D-B143-856DAF22C26A}"/>
    <hyperlink ref="B63" location="'大島支庁新島村'!a1" display="大島支庁新島村" xr:uid="{AD791804-4248-40C0-865C-B06C0763BA41}"/>
    <hyperlink ref="B64" location="'大島支庁神津島村'!a1" display="大島支庁神津島村" xr:uid="{01C986B6-83D2-4769-ACB7-2E186D1AB836}"/>
    <hyperlink ref="B65" location="'三宅支庁三宅村'!a1" display="三宅支庁三宅村" xr:uid="{19EEB611-AD8C-4DC7-8D99-EF01D9FBF1FD}"/>
    <hyperlink ref="B66" location="'三宅支庁御蔵島村'!a1" display="三宅支庁御蔵島村" xr:uid="{FDFF8B7A-89DE-4229-B93D-D49CA70D045A}"/>
    <hyperlink ref="B67" location="'八丈支庁八丈町'!a1" display="八丈支庁八丈町" xr:uid="{ED1A7B73-363B-4594-8291-9F7F253ED163}"/>
    <hyperlink ref="B68" location="'八丈支庁青ヶ島村'!a1" display="八丈支庁青ヶ島村" xr:uid="{ACB5AEFD-A6D4-413D-80E7-4000E7A22142}"/>
    <hyperlink ref="B69" location="'小笠原支庁小笠原村'!a1" display="小笠原支庁小笠原村" xr:uid="{46C233D3-0A2F-425E-94A2-5D104E5BB46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7CD9-132F-4C12-940A-3B49D2254DC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0.02</v>
      </c>
      <c r="I5" s="12">
        <v>0</v>
      </c>
    </row>
    <row r="6" spans="2:9" ht="15" customHeight="1" x14ac:dyDescent="0.2">
      <c r="B6" t="s">
        <v>66</v>
      </c>
      <c r="C6" s="12">
        <v>743</v>
      </c>
      <c r="D6" s="8">
        <v>4.74</v>
      </c>
      <c r="E6" s="12">
        <v>39</v>
      </c>
      <c r="F6" s="8">
        <v>0.84</v>
      </c>
      <c r="G6" s="12">
        <v>704</v>
      </c>
      <c r="H6" s="8">
        <v>6.4</v>
      </c>
      <c r="I6" s="12">
        <v>0</v>
      </c>
    </row>
    <row r="7" spans="2:9" ht="15" customHeight="1" x14ac:dyDescent="0.2">
      <c r="B7" t="s">
        <v>67</v>
      </c>
      <c r="C7" s="12">
        <v>793</v>
      </c>
      <c r="D7" s="8">
        <v>5.05</v>
      </c>
      <c r="E7" s="12">
        <v>87</v>
      </c>
      <c r="F7" s="8">
        <v>1.87</v>
      </c>
      <c r="G7" s="12">
        <v>706</v>
      </c>
      <c r="H7" s="8">
        <v>6.42</v>
      </c>
      <c r="I7" s="12">
        <v>0</v>
      </c>
    </row>
    <row r="8" spans="2:9" ht="15" customHeight="1" x14ac:dyDescent="0.2">
      <c r="B8" t="s">
        <v>68</v>
      </c>
      <c r="C8" s="12">
        <v>23</v>
      </c>
      <c r="D8" s="8">
        <v>0.15</v>
      </c>
      <c r="E8" s="12">
        <v>0</v>
      </c>
      <c r="F8" s="8">
        <v>0</v>
      </c>
      <c r="G8" s="12">
        <v>23</v>
      </c>
      <c r="H8" s="8">
        <v>0.21</v>
      </c>
      <c r="I8" s="12">
        <v>0</v>
      </c>
    </row>
    <row r="9" spans="2:9" ht="15" customHeight="1" x14ac:dyDescent="0.2">
      <c r="B9" t="s">
        <v>69</v>
      </c>
      <c r="C9" s="12">
        <v>1023</v>
      </c>
      <c r="D9" s="8">
        <v>6.52</v>
      </c>
      <c r="E9" s="12">
        <v>32</v>
      </c>
      <c r="F9" s="8">
        <v>0.69</v>
      </c>
      <c r="G9" s="12">
        <v>986</v>
      </c>
      <c r="H9" s="8">
        <v>8.9600000000000009</v>
      </c>
      <c r="I9" s="12">
        <v>5</v>
      </c>
    </row>
    <row r="10" spans="2:9" ht="15" customHeight="1" x14ac:dyDescent="0.2">
      <c r="B10" t="s">
        <v>70</v>
      </c>
      <c r="C10" s="12">
        <v>89</v>
      </c>
      <c r="D10" s="8">
        <v>0.56999999999999995</v>
      </c>
      <c r="E10" s="12">
        <v>14</v>
      </c>
      <c r="F10" s="8">
        <v>0.3</v>
      </c>
      <c r="G10" s="12">
        <v>75</v>
      </c>
      <c r="H10" s="8">
        <v>0.68</v>
      </c>
      <c r="I10" s="12">
        <v>0</v>
      </c>
    </row>
    <row r="11" spans="2:9" ht="15" customHeight="1" x14ac:dyDescent="0.2">
      <c r="B11" t="s">
        <v>71</v>
      </c>
      <c r="C11" s="12">
        <v>2510</v>
      </c>
      <c r="D11" s="8">
        <v>16</v>
      </c>
      <c r="E11" s="12">
        <v>417</v>
      </c>
      <c r="F11" s="8">
        <v>8.9700000000000006</v>
      </c>
      <c r="G11" s="12">
        <v>2093</v>
      </c>
      <c r="H11" s="8">
        <v>19.02</v>
      </c>
      <c r="I11" s="12">
        <v>0</v>
      </c>
    </row>
    <row r="12" spans="2:9" ht="15" customHeight="1" x14ac:dyDescent="0.2">
      <c r="B12" t="s">
        <v>72</v>
      </c>
      <c r="C12" s="12">
        <v>98</v>
      </c>
      <c r="D12" s="8">
        <v>0.62</v>
      </c>
      <c r="E12" s="12">
        <v>0</v>
      </c>
      <c r="F12" s="8">
        <v>0</v>
      </c>
      <c r="G12" s="12">
        <v>97</v>
      </c>
      <c r="H12" s="8">
        <v>0.88</v>
      </c>
      <c r="I12" s="12">
        <v>1</v>
      </c>
    </row>
    <row r="13" spans="2:9" ht="15" customHeight="1" x14ac:dyDescent="0.2">
      <c r="B13" t="s">
        <v>73</v>
      </c>
      <c r="C13" s="12">
        <v>2678</v>
      </c>
      <c r="D13" s="8">
        <v>17.07</v>
      </c>
      <c r="E13" s="12">
        <v>527</v>
      </c>
      <c r="F13" s="8">
        <v>11.34</v>
      </c>
      <c r="G13" s="12">
        <v>2148</v>
      </c>
      <c r="H13" s="8">
        <v>19.52</v>
      </c>
      <c r="I13" s="12">
        <v>3</v>
      </c>
    </row>
    <row r="14" spans="2:9" ht="15" customHeight="1" x14ac:dyDescent="0.2">
      <c r="B14" t="s">
        <v>74</v>
      </c>
      <c r="C14" s="12">
        <v>2525</v>
      </c>
      <c r="D14" s="8">
        <v>16.100000000000001</v>
      </c>
      <c r="E14" s="12">
        <v>1048</v>
      </c>
      <c r="F14" s="8">
        <v>22.55</v>
      </c>
      <c r="G14" s="12">
        <v>1471</v>
      </c>
      <c r="H14" s="8">
        <v>13.37</v>
      </c>
      <c r="I14" s="12">
        <v>5</v>
      </c>
    </row>
    <row r="15" spans="2:9" ht="15" customHeight="1" x14ac:dyDescent="0.2">
      <c r="B15" t="s">
        <v>75</v>
      </c>
      <c r="C15" s="12">
        <v>2421</v>
      </c>
      <c r="D15" s="8">
        <v>15.43</v>
      </c>
      <c r="E15" s="12">
        <v>1453</v>
      </c>
      <c r="F15" s="8">
        <v>31.27</v>
      </c>
      <c r="G15" s="12">
        <v>966</v>
      </c>
      <c r="H15" s="8">
        <v>8.7799999999999994</v>
      </c>
      <c r="I15" s="12">
        <v>1</v>
      </c>
    </row>
    <row r="16" spans="2:9" ht="15" customHeight="1" x14ac:dyDescent="0.2">
      <c r="B16" t="s">
        <v>76</v>
      </c>
      <c r="C16" s="12">
        <v>1112</v>
      </c>
      <c r="D16" s="8">
        <v>7.09</v>
      </c>
      <c r="E16" s="12">
        <v>461</v>
      </c>
      <c r="F16" s="8">
        <v>9.92</v>
      </c>
      <c r="G16" s="12">
        <v>649</v>
      </c>
      <c r="H16" s="8">
        <v>5.9</v>
      </c>
      <c r="I16" s="12">
        <v>2</v>
      </c>
    </row>
    <row r="17" spans="2:9" ht="15" customHeight="1" x14ac:dyDescent="0.2">
      <c r="B17" t="s">
        <v>77</v>
      </c>
      <c r="C17" s="12">
        <v>404</v>
      </c>
      <c r="D17" s="8">
        <v>2.58</v>
      </c>
      <c r="E17" s="12">
        <v>147</v>
      </c>
      <c r="F17" s="8">
        <v>3.16</v>
      </c>
      <c r="G17" s="12">
        <v>252</v>
      </c>
      <c r="H17" s="8">
        <v>2.29</v>
      </c>
      <c r="I17" s="12">
        <v>4</v>
      </c>
    </row>
    <row r="18" spans="2:9" ht="15" customHeight="1" x14ac:dyDescent="0.2">
      <c r="B18" t="s">
        <v>78</v>
      </c>
      <c r="C18" s="12">
        <v>636</v>
      </c>
      <c r="D18" s="8">
        <v>4.05</v>
      </c>
      <c r="E18" s="12">
        <v>389</v>
      </c>
      <c r="F18" s="8">
        <v>8.3699999999999992</v>
      </c>
      <c r="G18" s="12">
        <v>242</v>
      </c>
      <c r="H18" s="8">
        <v>2.2000000000000002</v>
      </c>
      <c r="I18" s="12">
        <v>1</v>
      </c>
    </row>
    <row r="19" spans="2:9" ht="15" customHeight="1" x14ac:dyDescent="0.2">
      <c r="B19" t="s">
        <v>79</v>
      </c>
      <c r="C19" s="12">
        <v>631</v>
      </c>
      <c r="D19" s="8">
        <v>4.0199999999999996</v>
      </c>
      <c r="E19" s="12">
        <v>33</v>
      </c>
      <c r="F19" s="8">
        <v>0.71</v>
      </c>
      <c r="G19" s="12">
        <v>591</v>
      </c>
      <c r="H19" s="8">
        <v>5.37</v>
      </c>
      <c r="I19" s="12">
        <v>6</v>
      </c>
    </row>
    <row r="20" spans="2:9" ht="15" customHeight="1" x14ac:dyDescent="0.2">
      <c r="B20" s="9" t="s">
        <v>280</v>
      </c>
      <c r="C20" s="12">
        <f>SUM(LTBL_13104[総数／事業所数])</f>
        <v>15688</v>
      </c>
      <c r="E20" s="12">
        <f>SUBTOTAL(109,LTBL_13104[個人／事業所数])</f>
        <v>4647</v>
      </c>
      <c r="G20" s="12">
        <f>SUBTOTAL(109,LTBL_13104[法人／事業所数])</f>
        <v>11005</v>
      </c>
      <c r="I20" s="12">
        <f>SUBTOTAL(109,LTBL_13104[法人以外の団体／事業所数])</f>
        <v>28</v>
      </c>
    </row>
    <row r="21" spans="2:9" ht="15" customHeight="1" x14ac:dyDescent="0.2">
      <c r="E21" s="11">
        <f>LTBL_13104[[#Totals],[個人／事業所数]]/LTBL_13104[[#Totals],[総数／事業所数]]</f>
        <v>0.29621366649668535</v>
      </c>
      <c r="G21" s="11">
        <f>LTBL_13104[[#Totals],[法人／事業所数]]/LTBL_13104[[#Totals],[総数／事業所数]]</f>
        <v>0.70149158592554817</v>
      </c>
      <c r="I21" s="11">
        <f>LTBL_13104[[#Totals],[法人以外の団体／事業所数]]/LTBL_13104[[#Totals],[総数／事業所数]]</f>
        <v>1.7848036715961244E-3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2284</v>
      </c>
      <c r="D24" s="8">
        <v>14.56</v>
      </c>
      <c r="E24" s="12">
        <v>1444</v>
      </c>
      <c r="F24" s="8">
        <v>31.07</v>
      </c>
      <c r="G24" s="12">
        <v>839</v>
      </c>
      <c r="H24" s="8">
        <v>7.62</v>
      </c>
      <c r="I24" s="12">
        <v>1</v>
      </c>
    </row>
    <row r="25" spans="2:9" ht="15" customHeight="1" x14ac:dyDescent="0.2">
      <c r="B25" t="s">
        <v>100</v>
      </c>
      <c r="C25" s="12">
        <v>2068</v>
      </c>
      <c r="D25" s="8">
        <v>13.18</v>
      </c>
      <c r="E25" s="12">
        <v>508</v>
      </c>
      <c r="F25" s="8">
        <v>10.93</v>
      </c>
      <c r="G25" s="12">
        <v>1557</v>
      </c>
      <c r="H25" s="8">
        <v>14.15</v>
      </c>
      <c r="I25" s="12">
        <v>3</v>
      </c>
    </row>
    <row r="26" spans="2:9" ht="15" customHeight="1" x14ac:dyDescent="0.2">
      <c r="B26" t="s">
        <v>101</v>
      </c>
      <c r="C26" s="12">
        <v>1844</v>
      </c>
      <c r="D26" s="8">
        <v>11.75</v>
      </c>
      <c r="E26" s="12">
        <v>962</v>
      </c>
      <c r="F26" s="8">
        <v>20.7</v>
      </c>
      <c r="G26" s="12">
        <v>880</v>
      </c>
      <c r="H26" s="8">
        <v>8</v>
      </c>
      <c r="I26" s="12">
        <v>2</v>
      </c>
    </row>
    <row r="27" spans="2:9" ht="15" customHeight="1" x14ac:dyDescent="0.2">
      <c r="B27" t="s">
        <v>104</v>
      </c>
      <c r="C27" s="12">
        <v>700</v>
      </c>
      <c r="D27" s="8">
        <v>4.46</v>
      </c>
      <c r="E27" s="12">
        <v>398</v>
      </c>
      <c r="F27" s="8">
        <v>8.56</v>
      </c>
      <c r="G27" s="12">
        <v>302</v>
      </c>
      <c r="H27" s="8">
        <v>2.74</v>
      </c>
      <c r="I27" s="12">
        <v>0</v>
      </c>
    </row>
    <row r="28" spans="2:9" ht="15" customHeight="1" x14ac:dyDescent="0.2">
      <c r="B28" t="s">
        <v>98</v>
      </c>
      <c r="C28" s="12">
        <v>670</v>
      </c>
      <c r="D28" s="8">
        <v>4.2699999999999996</v>
      </c>
      <c r="E28" s="12">
        <v>191</v>
      </c>
      <c r="F28" s="8">
        <v>4.1100000000000003</v>
      </c>
      <c r="G28" s="12">
        <v>479</v>
      </c>
      <c r="H28" s="8">
        <v>4.3499999999999996</v>
      </c>
      <c r="I28" s="12">
        <v>0</v>
      </c>
    </row>
    <row r="29" spans="2:9" ht="15" customHeight="1" x14ac:dyDescent="0.2">
      <c r="B29" t="s">
        <v>99</v>
      </c>
      <c r="C29" s="12">
        <v>555</v>
      </c>
      <c r="D29" s="8">
        <v>3.54</v>
      </c>
      <c r="E29" s="12">
        <v>17</v>
      </c>
      <c r="F29" s="8">
        <v>0.37</v>
      </c>
      <c r="G29" s="12">
        <v>538</v>
      </c>
      <c r="H29" s="8">
        <v>4.8899999999999997</v>
      </c>
      <c r="I29" s="12">
        <v>0</v>
      </c>
    </row>
    <row r="30" spans="2:9" ht="15" customHeight="1" x14ac:dyDescent="0.2">
      <c r="B30" t="s">
        <v>106</v>
      </c>
      <c r="C30" s="12">
        <v>518</v>
      </c>
      <c r="D30" s="8">
        <v>3.3</v>
      </c>
      <c r="E30" s="12">
        <v>385</v>
      </c>
      <c r="F30" s="8">
        <v>8.2799999999999994</v>
      </c>
      <c r="G30" s="12">
        <v>133</v>
      </c>
      <c r="H30" s="8">
        <v>1.21</v>
      </c>
      <c r="I30" s="12">
        <v>0</v>
      </c>
    </row>
    <row r="31" spans="2:9" ht="15" customHeight="1" x14ac:dyDescent="0.2">
      <c r="B31" t="s">
        <v>102</v>
      </c>
      <c r="C31" s="12">
        <v>495</v>
      </c>
      <c r="D31" s="8">
        <v>3.16</v>
      </c>
      <c r="E31" s="12">
        <v>81</v>
      </c>
      <c r="F31" s="8">
        <v>1.74</v>
      </c>
      <c r="G31" s="12">
        <v>413</v>
      </c>
      <c r="H31" s="8">
        <v>3.75</v>
      </c>
      <c r="I31" s="12">
        <v>0</v>
      </c>
    </row>
    <row r="32" spans="2:9" ht="15" customHeight="1" x14ac:dyDescent="0.2">
      <c r="B32" t="s">
        <v>92</v>
      </c>
      <c r="C32" s="12">
        <v>443</v>
      </c>
      <c r="D32" s="8">
        <v>2.82</v>
      </c>
      <c r="E32" s="12">
        <v>26</v>
      </c>
      <c r="F32" s="8">
        <v>0.56000000000000005</v>
      </c>
      <c r="G32" s="12">
        <v>412</v>
      </c>
      <c r="H32" s="8">
        <v>3.74</v>
      </c>
      <c r="I32" s="12">
        <v>5</v>
      </c>
    </row>
    <row r="33" spans="2:9" ht="15" customHeight="1" x14ac:dyDescent="0.2">
      <c r="B33" t="s">
        <v>107</v>
      </c>
      <c r="C33" s="12">
        <v>433</v>
      </c>
      <c r="D33" s="8">
        <v>2.76</v>
      </c>
      <c r="E33" s="12">
        <v>16</v>
      </c>
      <c r="F33" s="8">
        <v>0.34</v>
      </c>
      <c r="G33" s="12">
        <v>411</v>
      </c>
      <c r="H33" s="8">
        <v>3.73</v>
      </c>
      <c r="I33" s="12">
        <v>6</v>
      </c>
    </row>
    <row r="34" spans="2:9" ht="15" customHeight="1" x14ac:dyDescent="0.2">
      <c r="B34" t="s">
        <v>95</v>
      </c>
      <c r="C34" s="12">
        <v>411</v>
      </c>
      <c r="D34" s="8">
        <v>2.62</v>
      </c>
      <c r="E34" s="12">
        <v>63</v>
      </c>
      <c r="F34" s="8">
        <v>1.36</v>
      </c>
      <c r="G34" s="12">
        <v>348</v>
      </c>
      <c r="H34" s="8">
        <v>3.16</v>
      </c>
      <c r="I34" s="12">
        <v>0</v>
      </c>
    </row>
    <row r="35" spans="2:9" ht="15" customHeight="1" x14ac:dyDescent="0.2">
      <c r="B35" t="s">
        <v>105</v>
      </c>
      <c r="C35" s="12">
        <v>404</v>
      </c>
      <c r="D35" s="8">
        <v>2.58</v>
      </c>
      <c r="E35" s="12">
        <v>147</v>
      </c>
      <c r="F35" s="8">
        <v>3.16</v>
      </c>
      <c r="G35" s="12">
        <v>252</v>
      </c>
      <c r="H35" s="8">
        <v>2.29</v>
      </c>
      <c r="I35" s="12">
        <v>4</v>
      </c>
    </row>
    <row r="36" spans="2:9" ht="15" customHeight="1" x14ac:dyDescent="0.2">
      <c r="B36" t="s">
        <v>91</v>
      </c>
      <c r="C36" s="12">
        <v>396</v>
      </c>
      <c r="D36" s="8">
        <v>2.52</v>
      </c>
      <c r="E36" s="12">
        <v>6</v>
      </c>
      <c r="F36" s="8">
        <v>0.13</v>
      </c>
      <c r="G36" s="12">
        <v>390</v>
      </c>
      <c r="H36" s="8">
        <v>3.54</v>
      </c>
      <c r="I36" s="12">
        <v>0</v>
      </c>
    </row>
    <row r="37" spans="2:9" ht="15" customHeight="1" x14ac:dyDescent="0.2">
      <c r="B37" t="s">
        <v>108</v>
      </c>
      <c r="C37" s="12">
        <v>349</v>
      </c>
      <c r="D37" s="8">
        <v>2.2200000000000002</v>
      </c>
      <c r="E37" s="12">
        <v>27</v>
      </c>
      <c r="F37" s="8">
        <v>0.57999999999999996</v>
      </c>
      <c r="G37" s="12">
        <v>322</v>
      </c>
      <c r="H37" s="8">
        <v>2.93</v>
      </c>
      <c r="I37" s="12">
        <v>0</v>
      </c>
    </row>
    <row r="38" spans="2:9" ht="15" customHeight="1" x14ac:dyDescent="0.2">
      <c r="B38" t="s">
        <v>96</v>
      </c>
      <c r="C38" s="12">
        <v>349</v>
      </c>
      <c r="D38" s="8">
        <v>2.2200000000000002</v>
      </c>
      <c r="E38" s="12">
        <v>106</v>
      </c>
      <c r="F38" s="8">
        <v>2.2799999999999998</v>
      </c>
      <c r="G38" s="12">
        <v>243</v>
      </c>
      <c r="H38" s="8">
        <v>2.21</v>
      </c>
      <c r="I38" s="12">
        <v>0</v>
      </c>
    </row>
    <row r="39" spans="2:9" ht="15" customHeight="1" x14ac:dyDescent="0.2">
      <c r="B39" t="s">
        <v>94</v>
      </c>
      <c r="C39" s="12">
        <v>269</v>
      </c>
      <c r="D39" s="8">
        <v>1.71</v>
      </c>
      <c r="E39" s="12">
        <v>7</v>
      </c>
      <c r="F39" s="8">
        <v>0.15</v>
      </c>
      <c r="G39" s="12">
        <v>262</v>
      </c>
      <c r="H39" s="8">
        <v>2.38</v>
      </c>
      <c r="I39" s="12">
        <v>0</v>
      </c>
    </row>
    <row r="40" spans="2:9" ht="15" customHeight="1" x14ac:dyDescent="0.2">
      <c r="B40" t="s">
        <v>88</v>
      </c>
      <c r="C40" s="12">
        <v>266</v>
      </c>
      <c r="D40" s="8">
        <v>1.7</v>
      </c>
      <c r="E40" s="12">
        <v>12</v>
      </c>
      <c r="F40" s="8">
        <v>0.26</v>
      </c>
      <c r="G40" s="12">
        <v>254</v>
      </c>
      <c r="H40" s="8">
        <v>2.31</v>
      </c>
      <c r="I40" s="12">
        <v>0</v>
      </c>
    </row>
    <row r="41" spans="2:9" ht="15" customHeight="1" x14ac:dyDescent="0.2">
      <c r="B41" t="s">
        <v>89</v>
      </c>
      <c r="C41" s="12">
        <v>264</v>
      </c>
      <c r="D41" s="8">
        <v>1.68</v>
      </c>
      <c r="E41" s="12">
        <v>23</v>
      </c>
      <c r="F41" s="8">
        <v>0.49</v>
      </c>
      <c r="G41" s="12">
        <v>241</v>
      </c>
      <c r="H41" s="8">
        <v>2.19</v>
      </c>
      <c r="I41" s="12">
        <v>0</v>
      </c>
    </row>
    <row r="42" spans="2:9" ht="15" customHeight="1" x14ac:dyDescent="0.2">
      <c r="B42" t="s">
        <v>115</v>
      </c>
      <c r="C42" s="12">
        <v>215</v>
      </c>
      <c r="D42" s="8">
        <v>1.37</v>
      </c>
      <c r="E42" s="12">
        <v>35</v>
      </c>
      <c r="F42" s="8">
        <v>0.75</v>
      </c>
      <c r="G42" s="12">
        <v>180</v>
      </c>
      <c r="H42" s="8">
        <v>1.64</v>
      </c>
      <c r="I42" s="12">
        <v>0</v>
      </c>
    </row>
    <row r="43" spans="2:9" ht="15" customHeight="1" x14ac:dyDescent="0.2">
      <c r="B43" t="s">
        <v>90</v>
      </c>
      <c r="C43" s="12">
        <v>213</v>
      </c>
      <c r="D43" s="8">
        <v>1.36</v>
      </c>
      <c r="E43" s="12">
        <v>4</v>
      </c>
      <c r="F43" s="8">
        <v>0.09</v>
      </c>
      <c r="G43" s="12">
        <v>209</v>
      </c>
      <c r="H43" s="8">
        <v>1.9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1007</v>
      </c>
      <c r="D47" s="8">
        <v>6.42</v>
      </c>
      <c r="E47" s="12">
        <v>353</v>
      </c>
      <c r="F47" s="8">
        <v>7.6</v>
      </c>
      <c r="G47" s="12">
        <v>654</v>
      </c>
      <c r="H47" s="8">
        <v>5.94</v>
      </c>
      <c r="I47" s="12">
        <v>0</v>
      </c>
    </row>
    <row r="48" spans="2:9" ht="15" customHeight="1" x14ac:dyDescent="0.2">
      <c r="B48" t="s">
        <v>168</v>
      </c>
      <c r="C48" s="12">
        <v>716</v>
      </c>
      <c r="D48" s="8">
        <v>4.5599999999999996</v>
      </c>
      <c r="E48" s="12">
        <v>391</v>
      </c>
      <c r="F48" s="8">
        <v>8.41</v>
      </c>
      <c r="G48" s="12">
        <v>324</v>
      </c>
      <c r="H48" s="8">
        <v>2.94</v>
      </c>
      <c r="I48" s="12">
        <v>1</v>
      </c>
    </row>
    <row r="49" spans="2:9" ht="15" customHeight="1" x14ac:dyDescent="0.2">
      <c r="B49" t="s">
        <v>170</v>
      </c>
      <c r="C49" s="12">
        <v>677</v>
      </c>
      <c r="D49" s="8">
        <v>4.32</v>
      </c>
      <c r="E49" s="12">
        <v>555</v>
      </c>
      <c r="F49" s="8">
        <v>11.94</v>
      </c>
      <c r="G49" s="12">
        <v>122</v>
      </c>
      <c r="H49" s="8">
        <v>1.1100000000000001</v>
      </c>
      <c r="I49" s="12">
        <v>0</v>
      </c>
    </row>
    <row r="50" spans="2:9" ht="15" customHeight="1" x14ac:dyDescent="0.2">
      <c r="B50" t="s">
        <v>161</v>
      </c>
      <c r="C50" s="12">
        <v>560</v>
      </c>
      <c r="D50" s="8">
        <v>3.57</v>
      </c>
      <c r="E50" s="12">
        <v>117</v>
      </c>
      <c r="F50" s="8">
        <v>2.52</v>
      </c>
      <c r="G50" s="12">
        <v>443</v>
      </c>
      <c r="H50" s="8">
        <v>4.03</v>
      </c>
      <c r="I50" s="12">
        <v>0</v>
      </c>
    </row>
    <row r="51" spans="2:9" ht="15" customHeight="1" x14ac:dyDescent="0.2">
      <c r="B51" t="s">
        <v>169</v>
      </c>
      <c r="C51" s="12">
        <v>474</v>
      </c>
      <c r="D51" s="8">
        <v>3.02</v>
      </c>
      <c r="E51" s="12">
        <v>268</v>
      </c>
      <c r="F51" s="8">
        <v>5.77</v>
      </c>
      <c r="G51" s="12">
        <v>206</v>
      </c>
      <c r="H51" s="8">
        <v>1.87</v>
      </c>
      <c r="I51" s="12">
        <v>0</v>
      </c>
    </row>
    <row r="52" spans="2:9" ht="15" customHeight="1" x14ac:dyDescent="0.2">
      <c r="B52" t="s">
        <v>164</v>
      </c>
      <c r="C52" s="12">
        <v>459</v>
      </c>
      <c r="D52" s="8">
        <v>2.93</v>
      </c>
      <c r="E52" s="12">
        <v>421</v>
      </c>
      <c r="F52" s="8">
        <v>9.06</v>
      </c>
      <c r="G52" s="12">
        <v>38</v>
      </c>
      <c r="H52" s="8">
        <v>0.35</v>
      </c>
      <c r="I52" s="12">
        <v>0</v>
      </c>
    </row>
    <row r="53" spans="2:9" ht="15" customHeight="1" x14ac:dyDescent="0.2">
      <c r="B53" t="s">
        <v>163</v>
      </c>
      <c r="C53" s="12">
        <v>450</v>
      </c>
      <c r="D53" s="8">
        <v>2.87</v>
      </c>
      <c r="E53" s="12">
        <v>22</v>
      </c>
      <c r="F53" s="8">
        <v>0.47</v>
      </c>
      <c r="G53" s="12">
        <v>425</v>
      </c>
      <c r="H53" s="8">
        <v>3.86</v>
      </c>
      <c r="I53" s="12">
        <v>3</v>
      </c>
    </row>
    <row r="54" spans="2:9" ht="15" customHeight="1" x14ac:dyDescent="0.2">
      <c r="B54" t="s">
        <v>160</v>
      </c>
      <c r="C54" s="12">
        <v>441</v>
      </c>
      <c r="D54" s="8">
        <v>2.81</v>
      </c>
      <c r="E54" s="12">
        <v>15</v>
      </c>
      <c r="F54" s="8">
        <v>0.32</v>
      </c>
      <c r="G54" s="12">
        <v>426</v>
      </c>
      <c r="H54" s="8">
        <v>3.87</v>
      </c>
      <c r="I54" s="12">
        <v>0</v>
      </c>
    </row>
    <row r="55" spans="2:9" ht="15" customHeight="1" x14ac:dyDescent="0.2">
      <c r="B55" t="s">
        <v>167</v>
      </c>
      <c r="C55" s="12">
        <v>358</v>
      </c>
      <c r="D55" s="8">
        <v>2.2799999999999998</v>
      </c>
      <c r="E55" s="12">
        <v>54</v>
      </c>
      <c r="F55" s="8">
        <v>1.1599999999999999</v>
      </c>
      <c r="G55" s="12">
        <v>303</v>
      </c>
      <c r="H55" s="8">
        <v>2.75</v>
      </c>
      <c r="I55" s="12">
        <v>0</v>
      </c>
    </row>
    <row r="56" spans="2:9" ht="15" customHeight="1" x14ac:dyDescent="0.2">
      <c r="B56" t="s">
        <v>166</v>
      </c>
      <c r="C56" s="12">
        <v>355</v>
      </c>
      <c r="D56" s="8">
        <v>2.2599999999999998</v>
      </c>
      <c r="E56" s="12">
        <v>7</v>
      </c>
      <c r="F56" s="8">
        <v>0.15</v>
      </c>
      <c r="G56" s="12">
        <v>347</v>
      </c>
      <c r="H56" s="8">
        <v>3.15</v>
      </c>
      <c r="I56" s="12">
        <v>1</v>
      </c>
    </row>
    <row r="57" spans="2:9" ht="15" customHeight="1" x14ac:dyDescent="0.2">
      <c r="B57" t="s">
        <v>182</v>
      </c>
      <c r="C57" s="12">
        <v>327</v>
      </c>
      <c r="D57" s="8">
        <v>2.08</v>
      </c>
      <c r="E57" s="12">
        <v>309</v>
      </c>
      <c r="F57" s="8">
        <v>6.65</v>
      </c>
      <c r="G57" s="12">
        <v>18</v>
      </c>
      <c r="H57" s="8">
        <v>0.16</v>
      </c>
      <c r="I57" s="12">
        <v>0</v>
      </c>
    </row>
    <row r="58" spans="2:9" ht="15" customHeight="1" x14ac:dyDescent="0.2">
      <c r="B58" t="s">
        <v>157</v>
      </c>
      <c r="C58" s="12">
        <v>322</v>
      </c>
      <c r="D58" s="8">
        <v>2.0499999999999998</v>
      </c>
      <c r="E58" s="12">
        <v>6</v>
      </c>
      <c r="F58" s="8">
        <v>0.13</v>
      </c>
      <c r="G58" s="12">
        <v>316</v>
      </c>
      <c r="H58" s="8">
        <v>2.87</v>
      </c>
      <c r="I58" s="12">
        <v>0</v>
      </c>
    </row>
    <row r="59" spans="2:9" ht="15" customHeight="1" x14ac:dyDescent="0.2">
      <c r="B59" t="s">
        <v>175</v>
      </c>
      <c r="C59" s="12">
        <v>302</v>
      </c>
      <c r="D59" s="8">
        <v>1.93</v>
      </c>
      <c r="E59" s="12">
        <v>221</v>
      </c>
      <c r="F59" s="8">
        <v>4.76</v>
      </c>
      <c r="G59" s="12">
        <v>81</v>
      </c>
      <c r="H59" s="8">
        <v>0.74</v>
      </c>
      <c r="I59" s="12">
        <v>0</v>
      </c>
    </row>
    <row r="60" spans="2:9" ht="15" customHeight="1" x14ac:dyDescent="0.2">
      <c r="B60" t="s">
        <v>165</v>
      </c>
      <c r="C60" s="12">
        <v>276</v>
      </c>
      <c r="D60" s="8">
        <v>1.76</v>
      </c>
      <c r="E60" s="12">
        <v>2</v>
      </c>
      <c r="F60" s="8">
        <v>0.04</v>
      </c>
      <c r="G60" s="12">
        <v>274</v>
      </c>
      <c r="H60" s="8">
        <v>2.4900000000000002</v>
      </c>
      <c r="I60" s="12">
        <v>0</v>
      </c>
    </row>
    <row r="61" spans="2:9" ht="15" customHeight="1" x14ac:dyDescent="0.2">
      <c r="B61" t="s">
        <v>176</v>
      </c>
      <c r="C61" s="12">
        <v>275</v>
      </c>
      <c r="D61" s="8">
        <v>1.75</v>
      </c>
      <c r="E61" s="12">
        <v>14</v>
      </c>
      <c r="F61" s="8">
        <v>0.3</v>
      </c>
      <c r="G61" s="12">
        <v>255</v>
      </c>
      <c r="H61" s="8">
        <v>2.3199999999999998</v>
      </c>
      <c r="I61" s="12">
        <v>6</v>
      </c>
    </row>
    <row r="62" spans="2:9" ht="15" customHeight="1" x14ac:dyDescent="0.2">
      <c r="B62" t="s">
        <v>172</v>
      </c>
      <c r="C62" s="12">
        <v>273</v>
      </c>
      <c r="D62" s="8">
        <v>1.74</v>
      </c>
      <c r="E62" s="12">
        <v>181</v>
      </c>
      <c r="F62" s="8">
        <v>3.89</v>
      </c>
      <c r="G62" s="12">
        <v>92</v>
      </c>
      <c r="H62" s="8">
        <v>0.84</v>
      </c>
      <c r="I62" s="12">
        <v>0</v>
      </c>
    </row>
    <row r="63" spans="2:9" ht="15" customHeight="1" x14ac:dyDescent="0.2">
      <c r="B63" t="s">
        <v>159</v>
      </c>
      <c r="C63" s="12">
        <v>244</v>
      </c>
      <c r="D63" s="8">
        <v>1.56</v>
      </c>
      <c r="E63" s="12">
        <v>97</v>
      </c>
      <c r="F63" s="8">
        <v>2.09</v>
      </c>
      <c r="G63" s="12">
        <v>147</v>
      </c>
      <c r="H63" s="8">
        <v>1.34</v>
      </c>
      <c r="I63" s="12">
        <v>0</v>
      </c>
    </row>
    <row r="64" spans="2:9" ht="15" customHeight="1" x14ac:dyDescent="0.2">
      <c r="B64" t="s">
        <v>173</v>
      </c>
      <c r="C64" s="12">
        <v>239</v>
      </c>
      <c r="D64" s="8">
        <v>1.52</v>
      </c>
      <c r="E64" s="12">
        <v>121</v>
      </c>
      <c r="F64" s="8">
        <v>2.6</v>
      </c>
      <c r="G64" s="12">
        <v>117</v>
      </c>
      <c r="H64" s="8">
        <v>1.06</v>
      </c>
      <c r="I64" s="12">
        <v>1</v>
      </c>
    </row>
    <row r="65" spans="2:9" ht="15" customHeight="1" x14ac:dyDescent="0.2">
      <c r="B65" t="s">
        <v>178</v>
      </c>
      <c r="C65" s="12">
        <v>226</v>
      </c>
      <c r="D65" s="8">
        <v>1.44</v>
      </c>
      <c r="E65" s="12">
        <v>14</v>
      </c>
      <c r="F65" s="8">
        <v>0.3</v>
      </c>
      <c r="G65" s="12">
        <v>212</v>
      </c>
      <c r="H65" s="8">
        <v>1.93</v>
      </c>
      <c r="I65" s="12">
        <v>0</v>
      </c>
    </row>
    <row r="66" spans="2:9" ht="15" customHeight="1" x14ac:dyDescent="0.2">
      <c r="B66" t="s">
        <v>187</v>
      </c>
      <c r="C66" s="12">
        <v>198</v>
      </c>
      <c r="D66" s="8">
        <v>1.26</v>
      </c>
      <c r="E66" s="12">
        <v>26</v>
      </c>
      <c r="F66" s="8">
        <v>0.56000000000000005</v>
      </c>
      <c r="G66" s="12">
        <v>171</v>
      </c>
      <c r="H66" s="8">
        <v>1.55</v>
      </c>
      <c r="I66" s="12">
        <v>1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B10F-0C9A-4947-977A-BD88990275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378</v>
      </c>
      <c r="D6" s="8">
        <v>4.97</v>
      </c>
      <c r="E6" s="12">
        <v>43</v>
      </c>
      <c r="F6" s="8">
        <v>1.74</v>
      </c>
      <c r="G6" s="12">
        <v>334</v>
      </c>
      <c r="H6" s="8">
        <v>6.51</v>
      </c>
      <c r="I6" s="12">
        <v>1</v>
      </c>
    </row>
    <row r="7" spans="2:9" ht="15" customHeight="1" x14ac:dyDescent="0.2">
      <c r="B7" t="s">
        <v>67</v>
      </c>
      <c r="C7" s="12">
        <v>715</v>
      </c>
      <c r="D7" s="8">
        <v>9.4</v>
      </c>
      <c r="E7" s="12">
        <v>101</v>
      </c>
      <c r="F7" s="8">
        <v>4.0999999999999996</v>
      </c>
      <c r="G7" s="12">
        <v>613</v>
      </c>
      <c r="H7" s="8">
        <v>11.96</v>
      </c>
      <c r="I7" s="12">
        <v>1</v>
      </c>
    </row>
    <row r="8" spans="2:9" ht="15" customHeight="1" x14ac:dyDescent="0.2">
      <c r="B8" t="s">
        <v>68</v>
      </c>
      <c r="C8" s="12">
        <v>6</v>
      </c>
      <c r="D8" s="8">
        <v>0.08</v>
      </c>
      <c r="E8" s="12">
        <v>1</v>
      </c>
      <c r="F8" s="8">
        <v>0.04</v>
      </c>
      <c r="G8" s="12">
        <v>5</v>
      </c>
      <c r="H8" s="8">
        <v>0.1</v>
      </c>
      <c r="I8" s="12">
        <v>0</v>
      </c>
    </row>
    <row r="9" spans="2:9" ht="15" customHeight="1" x14ac:dyDescent="0.2">
      <c r="B9" t="s">
        <v>69</v>
      </c>
      <c r="C9" s="12">
        <v>391</v>
      </c>
      <c r="D9" s="8">
        <v>5.14</v>
      </c>
      <c r="E9" s="12">
        <v>14</v>
      </c>
      <c r="F9" s="8">
        <v>0.56999999999999995</v>
      </c>
      <c r="G9" s="12">
        <v>377</v>
      </c>
      <c r="H9" s="8">
        <v>7.35</v>
      </c>
      <c r="I9" s="12">
        <v>0</v>
      </c>
    </row>
    <row r="10" spans="2:9" ht="15" customHeight="1" x14ac:dyDescent="0.2">
      <c r="B10" t="s">
        <v>70</v>
      </c>
      <c r="C10" s="12">
        <v>58</v>
      </c>
      <c r="D10" s="8">
        <v>0.76</v>
      </c>
      <c r="E10" s="12">
        <v>10</v>
      </c>
      <c r="F10" s="8">
        <v>0.41</v>
      </c>
      <c r="G10" s="12">
        <v>48</v>
      </c>
      <c r="H10" s="8">
        <v>0.94</v>
      </c>
      <c r="I10" s="12">
        <v>0</v>
      </c>
    </row>
    <row r="11" spans="2:9" ht="15" customHeight="1" x14ac:dyDescent="0.2">
      <c r="B11" t="s">
        <v>71</v>
      </c>
      <c r="C11" s="12">
        <v>1470</v>
      </c>
      <c r="D11" s="8">
        <v>19.32</v>
      </c>
      <c r="E11" s="12">
        <v>393</v>
      </c>
      <c r="F11" s="8">
        <v>15.94</v>
      </c>
      <c r="G11" s="12">
        <v>1077</v>
      </c>
      <c r="H11" s="8">
        <v>21.01</v>
      </c>
      <c r="I11" s="12">
        <v>0</v>
      </c>
    </row>
    <row r="12" spans="2:9" ht="15" customHeight="1" x14ac:dyDescent="0.2">
      <c r="B12" t="s">
        <v>72</v>
      </c>
      <c r="C12" s="12">
        <v>39</v>
      </c>
      <c r="D12" s="8">
        <v>0.51</v>
      </c>
      <c r="E12" s="12">
        <v>1</v>
      </c>
      <c r="F12" s="8">
        <v>0.04</v>
      </c>
      <c r="G12" s="12">
        <v>38</v>
      </c>
      <c r="H12" s="8">
        <v>0.74</v>
      </c>
      <c r="I12" s="12">
        <v>0</v>
      </c>
    </row>
    <row r="13" spans="2:9" ht="15" customHeight="1" x14ac:dyDescent="0.2">
      <c r="B13" t="s">
        <v>73</v>
      </c>
      <c r="C13" s="12">
        <v>1441</v>
      </c>
      <c r="D13" s="8">
        <v>18.940000000000001</v>
      </c>
      <c r="E13" s="12">
        <v>428</v>
      </c>
      <c r="F13" s="8">
        <v>17.36</v>
      </c>
      <c r="G13" s="12">
        <v>1013</v>
      </c>
      <c r="H13" s="8">
        <v>19.760000000000002</v>
      </c>
      <c r="I13" s="12">
        <v>0</v>
      </c>
    </row>
    <row r="14" spans="2:9" ht="15" customHeight="1" x14ac:dyDescent="0.2">
      <c r="B14" t="s">
        <v>74</v>
      </c>
      <c r="C14" s="12">
        <v>1021</v>
      </c>
      <c r="D14" s="8">
        <v>13.42</v>
      </c>
      <c r="E14" s="12">
        <v>361</v>
      </c>
      <c r="F14" s="8">
        <v>14.64</v>
      </c>
      <c r="G14" s="12">
        <v>657</v>
      </c>
      <c r="H14" s="8">
        <v>12.81</v>
      </c>
      <c r="I14" s="12">
        <v>2</v>
      </c>
    </row>
    <row r="15" spans="2:9" ht="15" customHeight="1" x14ac:dyDescent="0.2">
      <c r="B15" t="s">
        <v>75</v>
      </c>
      <c r="C15" s="12">
        <v>837</v>
      </c>
      <c r="D15" s="8">
        <v>11</v>
      </c>
      <c r="E15" s="12">
        <v>507</v>
      </c>
      <c r="F15" s="8">
        <v>20.56</v>
      </c>
      <c r="G15" s="12">
        <v>329</v>
      </c>
      <c r="H15" s="8">
        <v>6.42</v>
      </c>
      <c r="I15" s="12">
        <v>0</v>
      </c>
    </row>
    <row r="16" spans="2:9" ht="15" customHeight="1" x14ac:dyDescent="0.2">
      <c r="B16" t="s">
        <v>76</v>
      </c>
      <c r="C16" s="12">
        <v>466</v>
      </c>
      <c r="D16" s="8">
        <v>6.12</v>
      </c>
      <c r="E16" s="12">
        <v>259</v>
      </c>
      <c r="F16" s="8">
        <v>10.5</v>
      </c>
      <c r="G16" s="12">
        <v>207</v>
      </c>
      <c r="H16" s="8">
        <v>4.04</v>
      </c>
      <c r="I16" s="12">
        <v>0</v>
      </c>
    </row>
    <row r="17" spans="2:9" ht="15" customHeight="1" x14ac:dyDescent="0.2">
      <c r="B17" t="s">
        <v>77</v>
      </c>
      <c r="C17" s="12">
        <v>229</v>
      </c>
      <c r="D17" s="8">
        <v>3.01</v>
      </c>
      <c r="E17" s="12">
        <v>121</v>
      </c>
      <c r="F17" s="8">
        <v>4.91</v>
      </c>
      <c r="G17" s="12">
        <v>105</v>
      </c>
      <c r="H17" s="8">
        <v>2.0499999999999998</v>
      </c>
      <c r="I17" s="12">
        <v>3</v>
      </c>
    </row>
    <row r="18" spans="2:9" ht="15" customHeight="1" x14ac:dyDescent="0.2">
      <c r="B18" t="s">
        <v>78</v>
      </c>
      <c r="C18" s="12">
        <v>312</v>
      </c>
      <c r="D18" s="8">
        <v>4.0999999999999996</v>
      </c>
      <c r="E18" s="12">
        <v>205</v>
      </c>
      <c r="F18" s="8">
        <v>8.31</v>
      </c>
      <c r="G18" s="12">
        <v>107</v>
      </c>
      <c r="H18" s="8">
        <v>2.09</v>
      </c>
      <c r="I18" s="12">
        <v>0</v>
      </c>
    </row>
    <row r="19" spans="2:9" ht="15" customHeight="1" x14ac:dyDescent="0.2">
      <c r="B19" t="s">
        <v>79</v>
      </c>
      <c r="C19" s="12">
        <v>246</v>
      </c>
      <c r="D19" s="8">
        <v>3.23</v>
      </c>
      <c r="E19" s="12">
        <v>22</v>
      </c>
      <c r="F19" s="8">
        <v>0.89</v>
      </c>
      <c r="G19" s="12">
        <v>217</v>
      </c>
      <c r="H19" s="8">
        <v>4.2300000000000004</v>
      </c>
      <c r="I19" s="12">
        <v>7</v>
      </c>
    </row>
    <row r="20" spans="2:9" ht="15" customHeight="1" x14ac:dyDescent="0.2">
      <c r="B20" s="9" t="s">
        <v>280</v>
      </c>
      <c r="C20" s="12">
        <f>SUM(LTBL_13105[総数／事業所数])</f>
        <v>7609</v>
      </c>
      <c r="E20" s="12">
        <f>SUBTOTAL(109,LTBL_13105[個人／事業所数])</f>
        <v>2466</v>
      </c>
      <c r="G20" s="12">
        <f>SUBTOTAL(109,LTBL_13105[法人／事業所数])</f>
        <v>5127</v>
      </c>
      <c r="I20" s="12">
        <f>SUBTOTAL(109,LTBL_13105[法人以外の団体／事業所数])</f>
        <v>14</v>
      </c>
    </row>
    <row r="21" spans="2:9" ht="15" customHeight="1" x14ac:dyDescent="0.2">
      <c r="E21" s="11">
        <f>LTBL_13105[[#Totals],[個人／事業所数]]/LTBL_13105[[#Totals],[総数／事業所数]]</f>
        <v>0.32408989354711526</v>
      </c>
      <c r="G21" s="11">
        <f>LTBL_13105[[#Totals],[法人／事業所数]]/LTBL_13105[[#Totals],[総数／事業所数]]</f>
        <v>0.6738073334209489</v>
      </c>
      <c r="I21" s="11">
        <f>LTBL_13105[[#Totals],[法人以外の団体／事業所数]]/LTBL_13105[[#Totals],[総数／事業所数]]</f>
        <v>1.8399264029438822E-3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1270</v>
      </c>
      <c r="D24" s="8">
        <v>16.690000000000001</v>
      </c>
      <c r="E24" s="12">
        <v>413</v>
      </c>
      <c r="F24" s="8">
        <v>16.75</v>
      </c>
      <c r="G24" s="12">
        <v>857</v>
      </c>
      <c r="H24" s="8">
        <v>16.72</v>
      </c>
      <c r="I24" s="12">
        <v>0</v>
      </c>
    </row>
    <row r="25" spans="2:9" ht="15" customHeight="1" x14ac:dyDescent="0.2">
      <c r="B25" t="s">
        <v>103</v>
      </c>
      <c r="C25" s="12">
        <v>756</v>
      </c>
      <c r="D25" s="8">
        <v>9.94</v>
      </c>
      <c r="E25" s="12">
        <v>499</v>
      </c>
      <c r="F25" s="8">
        <v>20.239999999999998</v>
      </c>
      <c r="G25" s="12">
        <v>257</v>
      </c>
      <c r="H25" s="8">
        <v>5.01</v>
      </c>
      <c r="I25" s="12">
        <v>0</v>
      </c>
    </row>
    <row r="26" spans="2:9" ht="15" customHeight="1" x14ac:dyDescent="0.2">
      <c r="B26" t="s">
        <v>101</v>
      </c>
      <c r="C26" s="12">
        <v>715</v>
      </c>
      <c r="D26" s="8">
        <v>9.4</v>
      </c>
      <c r="E26" s="12">
        <v>316</v>
      </c>
      <c r="F26" s="8">
        <v>12.81</v>
      </c>
      <c r="G26" s="12">
        <v>399</v>
      </c>
      <c r="H26" s="8">
        <v>7.78</v>
      </c>
      <c r="I26" s="12">
        <v>0</v>
      </c>
    </row>
    <row r="27" spans="2:9" ht="15" customHeight="1" x14ac:dyDescent="0.2">
      <c r="B27" t="s">
        <v>98</v>
      </c>
      <c r="C27" s="12">
        <v>375</v>
      </c>
      <c r="D27" s="8">
        <v>4.93</v>
      </c>
      <c r="E27" s="12">
        <v>151</v>
      </c>
      <c r="F27" s="8">
        <v>6.12</v>
      </c>
      <c r="G27" s="12">
        <v>224</v>
      </c>
      <c r="H27" s="8">
        <v>4.37</v>
      </c>
      <c r="I27" s="12">
        <v>0</v>
      </c>
    </row>
    <row r="28" spans="2:9" ht="15" customHeight="1" x14ac:dyDescent="0.2">
      <c r="B28" t="s">
        <v>104</v>
      </c>
      <c r="C28" s="12">
        <v>340</v>
      </c>
      <c r="D28" s="8">
        <v>4.47</v>
      </c>
      <c r="E28" s="12">
        <v>228</v>
      </c>
      <c r="F28" s="8">
        <v>9.25</v>
      </c>
      <c r="G28" s="12">
        <v>112</v>
      </c>
      <c r="H28" s="8">
        <v>2.1800000000000002</v>
      </c>
      <c r="I28" s="12">
        <v>0</v>
      </c>
    </row>
    <row r="29" spans="2:9" ht="15" customHeight="1" x14ac:dyDescent="0.2">
      <c r="B29" t="s">
        <v>108</v>
      </c>
      <c r="C29" s="12">
        <v>338</v>
      </c>
      <c r="D29" s="8">
        <v>4.4400000000000004</v>
      </c>
      <c r="E29" s="12">
        <v>38</v>
      </c>
      <c r="F29" s="8">
        <v>1.54</v>
      </c>
      <c r="G29" s="12">
        <v>300</v>
      </c>
      <c r="H29" s="8">
        <v>5.85</v>
      </c>
      <c r="I29" s="12">
        <v>0</v>
      </c>
    </row>
    <row r="30" spans="2:9" ht="15" customHeight="1" x14ac:dyDescent="0.2">
      <c r="B30" t="s">
        <v>106</v>
      </c>
      <c r="C30" s="12">
        <v>266</v>
      </c>
      <c r="D30" s="8">
        <v>3.5</v>
      </c>
      <c r="E30" s="12">
        <v>205</v>
      </c>
      <c r="F30" s="8">
        <v>8.31</v>
      </c>
      <c r="G30" s="12">
        <v>61</v>
      </c>
      <c r="H30" s="8">
        <v>1.19</v>
      </c>
      <c r="I30" s="12">
        <v>0</v>
      </c>
    </row>
    <row r="31" spans="2:9" ht="15" customHeight="1" x14ac:dyDescent="0.2">
      <c r="B31" t="s">
        <v>96</v>
      </c>
      <c r="C31" s="12">
        <v>242</v>
      </c>
      <c r="D31" s="8">
        <v>3.18</v>
      </c>
      <c r="E31" s="12">
        <v>120</v>
      </c>
      <c r="F31" s="8">
        <v>4.87</v>
      </c>
      <c r="G31" s="12">
        <v>122</v>
      </c>
      <c r="H31" s="8">
        <v>2.38</v>
      </c>
      <c r="I31" s="12">
        <v>0</v>
      </c>
    </row>
    <row r="32" spans="2:9" ht="15" customHeight="1" x14ac:dyDescent="0.2">
      <c r="B32" t="s">
        <v>105</v>
      </c>
      <c r="C32" s="12">
        <v>229</v>
      </c>
      <c r="D32" s="8">
        <v>3.01</v>
      </c>
      <c r="E32" s="12">
        <v>121</v>
      </c>
      <c r="F32" s="8">
        <v>4.91</v>
      </c>
      <c r="G32" s="12">
        <v>105</v>
      </c>
      <c r="H32" s="8">
        <v>2.0499999999999998</v>
      </c>
      <c r="I32" s="12">
        <v>3</v>
      </c>
    </row>
    <row r="33" spans="2:9" ht="15" customHeight="1" x14ac:dyDescent="0.2">
      <c r="B33" t="s">
        <v>102</v>
      </c>
      <c r="C33" s="12">
        <v>223</v>
      </c>
      <c r="D33" s="8">
        <v>2.93</v>
      </c>
      <c r="E33" s="12">
        <v>44</v>
      </c>
      <c r="F33" s="8">
        <v>1.78</v>
      </c>
      <c r="G33" s="12">
        <v>178</v>
      </c>
      <c r="H33" s="8">
        <v>3.47</v>
      </c>
      <c r="I33" s="12">
        <v>0</v>
      </c>
    </row>
    <row r="34" spans="2:9" ht="15" customHeight="1" x14ac:dyDescent="0.2">
      <c r="B34" t="s">
        <v>94</v>
      </c>
      <c r="C34" s="12">
        <v>208</v>
      </c>
      <c r="D34" s="8">
        <v>2.73</v>
      </c>
      <c r="E34" s="12">
        <v>16</v>
      </c>
      <c r="F34" s="8">
        <v>0.65</v>
      </c>
      <c r="G34" s="12">
        <v>192</v>
      </c>
      <c r="H34" s="8">
        <v>3.74</v>
      </c>
      <c r="I34" s="12">
        <v>0</v>
      </c>
    </row>
    <row r="35" spans="2:9" ht="15" customHeight="1" x14ac:dyDescent="0.2">
      <c r="B35" t="s">
        <v>93</v>
      </c>
      <c r="C35" s="12">
        <v>207</v>
      </c>
      <c r="D35" s="8">
        <v>2.72</v>
      </c>
      <c r="E35" s="12">
        <v>7</v>
      </c>
      <c r="F35" s="8">
        <v>0.28000000000000003</v>
      </c>
      <c r="G35" s="12">
        <v>200</v>
      </c>
      <c r="H35" s="8">
        <v>3.9</v>
      </c>
      <c r="I35" s="12">
        <v>0</v>
      </c>
    </row>
    <row r="36" spans="2:9" ht="15" customHeight="1" x14ac:dyDescent="0.2">
      <c r="B36" t="s">
        <v>92</v>
      </c>
      <c r="C36" s="12">
        <v>203</v>
      </c>
      <c r="D36" s="8">
        <v>2.67</v>
      </c>
      <c r="E36" s="12">
        <v>11</v>
      </c>
      <c r="F36" s="8">
        <v>0.45</v>
      </c>
      <c r="G36" s="12">
        <v>192</v>
      </c>
      <c r="H36" s="8">
        <v>3.74</v>
      </c>
      <c r="I36" s="12">
        <v>0</v>
      </c>
    </row>
    <row r="37" spans="2:9" ht="15" customHeight="1" x14ac:dyDescent="0.2">
      <c r="B37" t="s">
        <v>107</v>
      </c>
      <c r="C37" s="12">
        <v>174</v>
      </c>
      <c r="D37" s="8">
        <v>2.29</v>
      </c>
      <c r="E37" s="12">
        <v>7</v>
      </c>
      <c r="F37" s="8">
        <v>0.28000000000000003</v>
      </c>
      <c r="G37" s="12">
        <v>160</v>
      </c>
      <c r="H37" s="8">
        <v>3.12</v>
      </c>
      <c r="I37" s="12">
        <v>7</v>
      </c>
    </row>
    <row r="38" spans="2:9" ht="15" customHeight="1" x14ac:dyDescent="0.2">
      <c r="B38" t="s">
        <v>89</v>
      </c>
      <c r="C38" s="12">
        <v>157</v>
      </c>
      <c r="D38" s="8">
        <v>2.06</v>
      </c>
      <c r="E38" s="12">
        <v>21</v>
      </c>
      <c r="F38" s="8">
        <v>0.85</v>
      </c>
      <c r="G38" s="12">
        <v>136</v>
      </c>
      <c r="H38" s="8">
        <v>2.65</v>
      </c>
      <c r="I38" s="12">
        <v>0</v>
      </c>
    </row>
    <row r="39" spans="2:9" ht="15" customHeight="1" x14ac:dyDescent="0.2">
      <c r="B39" t="s">
        <v>99</v>
      </c>
      <c r="C39" s="12">
        <v>156</v>
      </c>
      <c r="D39" s="8">
        <v>2.0499999999999998</v>
      </c>
      <c r="E39" s="12">
        <v>15</v>
      </c>
      <c r="F39" s="8">
        <v>0.61</v>
      </c>
      <c r="G39" s="12">
        <v>141</v>
      </c>
      <c r="H39" s="8">
        <v>2.75</v>
      </c>
      <c r="I39" s="12">
        <v>0</v>
      </c>
    </row>
    <row r="40" spans="2:9" ht="15" customHeight="1" x14ac:dyDescent="0.2">
      <c r="B40" t="s">
        <v>91</v>
      </c>
      <c r="C40" s="12">
        <v>148</v>
      </c>
      <c r="D40" s="8">
        <v>1.95</v>
      </c>
      <c r="E40" s="12">
        <v>1</v>
      </c>
      <c r="F40" s="8">
        <v>0.04</v>
      </c>
      <c r="G40" s="12">
        <v>147</v>
      </c>
      <c r="H40" s="8">
        <v>2.87</v>
      </c>
      <c r="I40" s="12">
        <v>0</v>
      </c>
    </row>
    <row r="41" spans="2:9" ht="15" customHeight="1" x14ac:dyDescent="0.2">
      <c r="B41" t="s">
        <v>95</v>
      </c>
      <c r="C41" s="12">
        <v>128</v>
      </c>
      <c r="D41" s="8">
        <v>1.68</v>
      </c>
      <c r="E41" s="12">
        <v>58</v>
      </c>
      <c r="F41" s="8">
        <v>2.35</v>
      </c>
      <c r="G41" s="12">
        <v>70</v>
      </c>
      <c r="H41" s="8">
        <v>1.37</v>
      </c>
      <c r="I41" s="12">
        <v>0</v>
      </c>
    </row>
    <row r="42" spans="2:9" ht="15" customHeight="1" x14ac:dyDescent="0.2">
      <c r="B42" t="s">
        <v>90</v>
      </c>
      <c r="C42" s="12">
        <v>112</v>
      </c>
      <c r="D42" s="8">
        <v>1.47</v>
      </c>
      <c r="E42" s="12">
        <v>16</v>
      </c>
      <c r="F42" s="8">
        <v>0.65</v>
      </c>
      <c r="G42" s="12">
        <v>95</v>
      </c>
      <c r="H42" s="8">
        <v>1.85</v>
      </c>
      <c r="I42" s="12">
        <v>1</v>
      </c>
    </row>
    <row r="43" spans="2:9" ht="15" customHeight="1" x14ac:dyDescent="0.2">
      <c r="B43" t="s">
        <v>88</v>
      </c>
      <c r="C43" s="12">
        <v>109</v>
      </c>
      <c r="D43" s="8">
        <v>1.43</v>
      </c>
      <c r="E43" s="12">
        <v>6</v>
      </c>
      <c r="F43" s="8">
        <v>0.24</v>
      </c>
      <c r="G43" s="12">
        <v>103</v>
      </c>
      <c r="H43" s="8">
        <v>2.0099999999999998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729</v>
      </c>
      <c r="D47" s="8">
        <v>9.58</v>
      </c>
      <c r="E47" s="12">
        <v>290</v>
      </c>
      <c r="F47" s="8">
        <v>11.76</v>
      </c>
      <c r="G47" s="12">
        <v>439</v>
      </c>
      <c r="H47" s="8">
        <v>8.56</v>
      </c>
      <c r="I47" s="12">
        <v>0</v>
      </c>
    </row>
    <row r="48" spans="2:9" ht="15" customHeight="1" x14ac:dyDescent="0.2">
      <c r="B48" t="s">
        <v>168</v>
      </c>
      <c r="C48" s="12">
        <v>267</v>
      </c>
      <c r="D48" s="8">
        <v>3.51</v>
      </c>
      <c r="E48" s="12">
        <v>159</v>
      </c>
      <c r="F48" s="8">
        <v>6.45</v>
      </c>
      <c r="G48" s="12">
        <v>108</v>
      </c>
      <c r="H48" s="8">
        <v>2.11</v>
      </c>
      <c r="I48" s="12">
        <v>0</v>
      </c>
    </row>
    <row r="49" spans="2:9" ht="15" customHeight="1" x14ac:dyDescent="0.2">
      <c r="B49" t="s">
        <v>161</v>
      </c>
      <c r="C49" s="12">
        <v>264</v>
      </c>
      <c r="D49" s="8">
        <v>3.47</v>
      </c>
      <c r="E49" s="12">
        <v>84</v>
      </c>
      <c r="F49" s="8">
        <v>3.41</v>
      </c>
      <c r="G49" s="12">
        <v>180</v>
      </c>
      <c r="H49" s="8">
        <v>3.51</v>
      </c>
      <c r="I49" s="12">
        <v>0</v>
      </c>
    </row>
    <row r="50" spans="2:9" ht="15" customHeight="1" x14ac:dyDescent="0.2">
      <c r="B50" t="s">
        <v>163</v>
      </c>
      <c r="C50" s="12">
        <v>226</v>
      </c>
      <c r="D50" s="8">
        <v>2.97</v>
      </c>
      <c r="E50" s="12">
        <v>14</v>
      </c>
      <c r="F50" s="8">
        <v>0.56999999999999995</v>
      </c>
      <c r="G50" s="12">
        <v>212</v>
      </c>
      <c r="H50" s="8">
        <v>4.13</v>
      </c>
      <c r="I50" s="12">
        <v>0</v>
      </c>
    </row>
    <row r="51" spans="2:9" ht="15" customHeight="1" x14ac:dyDescent="0.2">
      <c r="B51" t="s">
        <v>178</v>
      </c>
      <c r="C51" s="12">
        <v>211</v>
      </c>
      <c r="D51" s="8">
        <v>2.77</v>
      </c>
      <c r="E51" s="12">
        <v>16</v>
      </c>
      <c r="F51" s="8">
        <v>0.65</v>
      </c>
      <c r="G51" s="12">
        <v>195</v>
      </c>
      <c r="H51" s="8">
        <v>3.8</v>
      </c>
      <c r="I51" s="12">
        <v>0</v>
      </c>
    </row>
    <row r="52" spans="2:9" ht="15" customHeight="1" x14ac:dyDescent="0.2">
      <c r="B52" t="s">
        <v>166</v>
      </c>
      <c r="C52" s="12">
        <v>195</v>
      </c>
      <c r="D52" s="8">
        <v>2.56</v>
      </c>
      <c r="E52" s="12">
        <v>7</v>
      </c>
      <c r="F52" s="8">
        <v>0.28000000000000003</v>
      </c>
      <c r="G52" s="12">
        <v>188</v>
      </c>
      <c r="H52" s="8">
        <v>3.67</v>
      </c>
      <c r="I52" s="12">
        <v>0</v>
      </c>
    </row>
    <row r="53" spans="2:9" ht="15" customHeight="1" x14ac:dyDescent="0.2">
      <c r="B53" t="s">
        <v>164</v>
      </c>
      <c r="C53" s="12">
        <v>159</v>
      </c>
      <c r="D53" s="8">
        <v>2.09</v>
      </c>
      <c r="E53" s="12">
        <v>152</v>
      </c>
      <c r="F53" s="8">
        <v>6.16</v>
      </c>
      <c r="G53" s="12">
        <v>7</v>
      </c>
      <c r="H53" s="8">
        <v>0.14000000000000001</v>
      </c>
      <c r="I53" s="12">
        <v>0</v>
      </c>
    </row>
    <row r="54" spans="2:9" ht="15" customHeight="1" x14ac:dyDescent="0.2">
      <c r="B54" t="s">
        <v>169</v>
      </c>
      <c r="C54" s="12">
        <v>144</v>
      </c>
      <c r="D54" s="8">
        <v>1.89</v>
      </c>
      <c r="E54" s="12">
        <v>110</v>
      </c>
      <c r="F54" s="8">
        <v>4.46</v>
      </c>
      <c r="G54" s="12">
        <v>34</v>
      </c>
      <c r="H54" s="8">
        <v>0.66</v>
      </c>
      <c r="I54" s="12">
        <v>0</v>
      </c>
    </row>
    <row r="55" spans="2:9" ht="15" customHeight="1" x14ac:dyDescent="0.2">
      <c r="B55" t="s">
        <v>173</v>
      </c>
      <c r="C55" s="12">
        <v>144</v>
      </c>
      <c r="D55" s="8">
        <v>1.89</v>
      </c>
      <c r="E55" s="12">
        <v>99</v>
      </c>
      <c r="F55" s="8">
        <v>4.01</v>
      </c>
      <c r="G55" s="12">
        <v>43</v>
      </c>
      <c r="H55" s="8">
        <v>0.84</v>
      </c>
      <c r="I55" s="12">
        <v>2</v>
      </c>
    </row>
    <row r="56" spans="2:9" ht="15" customHeight="1" x14ac:dyDescent="0.2">
      <c r="B56" t="s">
        <v>165</v>
      </c>
      <c r="C56" s="12">
        <v>143</v>
      </c>
      <c r="D56" s="8">
        <v>1.88</v>
      </c>
      <c r="E56" s="12">
        <v>5</v>
      </c>
      <c r="F56" s="8">
        <v>0.2</v>
      </c>
      <c r="G56" s="12">
        <v>138</v>
      </c>
      <c r="H56" s="8">
        <v>2.69</v>
      </c>
      <c r="I56" s="12">
        <v>0</v>
      </c>
    </row>
    <row r="57" spans="2:9" ht="15" customHeight="1" x14ac:dyDescent="0.2">
      <c r="B57" t="s">
        <v>159</v>
      </c>
      <c r="C57" s="12">
        <v>139</v>
      </c>
      <c r="D57" s="8">
        <v>1.83</v>
      </c>
      <c r="E57" s="12">
        <v>64</v>
      </c>
      <c r="F57" s="8">
        <v>2.6</v>
      </c>
      <c r="G57" s="12">
        <v>75</v>
      </c>
      <c r="H57" s="8">
        <v>1.46</v>
      </c>
      <c r="I57" s="12">
        <v>0</v>
      </c>
    </row>
    <row r="58" spans="2:9" ht="15" customHeight="1" x14ac:dyDescent="0.2">
      <c r="B58" t="s">
        <v>167</v>
      </c>
      <c r="C58" s="12">
        <v>137</v>
      </c>
      <c r="D58" s="8">
        <v>1.8</v>
      </c>
      <c r="E58" s="12">
        <v>21</v>
      </c>
      <c r="F58" s="8">
        <v>0.85</v>
      </c>
      <c r="G58" s="12">
        <v>115</v>
      </c>
      <c r="H58" s="8">
        <v>2.2400000000000002</v>
      </c>
      <c r="I58" s="12">
        <v>0</v>
      </c>
    </row>
    <row r="59" spans="2:9" ht="15" customHeight="1" x14ac:dyDescent="0.2">
      <c r="B59" t="s">
        <v>160</v>
      </c>
      <c r="C59" s="12">
        <v>133</v>
      </c>
      <c r="D59" s="8">
        <v>1.75</v>
      </c>
      <c r="E59" s="12">
        <v>14</v>
      </c>
      <c r="F59" s="8">
        <v>0.56999999999999995</v>
      </c>
      <c r="G59" s="12">
        <v>119</v>
      </c>
      <c r="H59" s="8">
        <v>2.3199999999999998</v>
      </c>
      <c r="I59" s="12">
        <v>0</v>
      </c>
    </row>
    <row r="60" spans="2:9" ht="15" customHeight="1" x14ac:dyDescent="0.2">
      <c r="B60" t="s">
        <v>172</v>
      </c>
      <c r="C60" s="12">
        <v>132</v>
      </c>
      <c r="D60" s="8">
        <v>1.73</v>
      </c>
      <c r="E60" s="12">
        <v>100</v>
      </c>
      <c r="F60" s="8">
        <v>4.0599999999999996</v>
      </c>
      <c r="G60" s="12">
        <v>32</v>
      </c>
      <c r="H60" s="8">
        <v>0.62</v>
      </c>
      <c r="I60" s="12">
        <v>0</v>
      </c>
    </row>
    <row r="61" spans="2:9" ht="15" customHeight="1" x14ac:dyDescent="0.2">
      <c r="B61" t="s">
        <v>175</v>
      </c>
      <c r="C61" s="12">
        <v>128</v>
      </c>
      <c r="D61" s="8">
        <v>1.68</v>
      </c>
      <c r="E61" s="12">
        <v>93</v>
      </c>
      <c r="F61" s="8">
        <v>3.77</v>
      </c>
      <c r="G61" s="12">
        <v>35</v>
      </c>
      <c r="H61" s="8">
        <v>0.68</v>
      </c>
      <c r="I61" s="12">
        <v>0</v>
      </c>
    </row>
    <row r="62" spans="2:9" ht="15" customHeight="1" x14ac:dyDescent="0.2">
      <c r="B62" t="s">
        <v>170</v>
      </c>
      <c r="C62" s="12">
        <v>123</v>
      </c>
      <c r="D62" s="8">
        <v>1.62</v>
      </c>
      <c r="E62" s="12">
        <v>97</v>
      </c>
      <c r="F62" s="8">
        <v>3.93</v>
      </c>
      <c r="G62" s="12">
        <v>26</v>
      </c>
      <c r="H62" s="8">
        <v>0.51</v>
      </c>
      <c r="I62" s="12">
        <v>0</v>
      </c>
    </row>
    <row r="63" spans="2:9" ht="15" customHeight="1" x14ac:dyDescent="0.2">
      <c r="B63" t="s">
        <v>179</v>
      </c>
      <c r="C63" s="12">
        <v>122</v>
      </c>
      <c r="D63" s="8">
        <v>1.6</v>
      </c>
      <c r="E63" s="12">
        <v>3</v>
      </c>
      <c r="F63" s="8">
        <v>0.12</v>
      </c>
      <c r="G63" s="12">
        <v>119</v>
      </c>
      <c r="H63" s="8">
        <v>2.3199999999999998</v>
      </c>
      <c r="I63" s="12">
        <v>0</v>
      </c>
    </row>
    <row r="64" spans="2:9" ht="15" customHeight="1" x14ac:dyDescent="0.2">
      <c r="B64" t="s">
        <v>177</v>
      </c>
      <c r="C64" s="12">
        <v>120</v>
      </c>
      <c r="D64" s="8">
        <v>1.58</v>
      </c>
      <c r="E64" s="12">
        <v>12</v>
      </c>
      <c r="F64" s="8">
        <v>0.49</v>
      </c>
      <c r="G64" s="12">
        <v>108</v>
      </c>
      <c r="H64" s="8">
        <v>2.11</v>
      </c>
      <c r="I64" s="12">
        <v>0</v>
      </c>
    </row>
    <row r="65" spans="2:9" ht="15" customHeight="1" x14ac:dyDescent="0.2">
      <c r="B65" t="s">
        <v>174</v>
      </c>
      <c r="C65" s="12">
        <v>119</v>
      </c>
      <c r="D65" s="8">
        <v>1.56</v>
      </c>
      <c r="E65" s="12">
        <v>109</v>
      </c>
      <c r="F65" s="8">
        <v>4.42</v>
      </c>
      <c r="G65" s="12">
        <v>10</v>
      </c>
      <c r="H65" s="8">
        <v>0.2</v>
      </c>
      <c r="I65" s="12">
        <v>0</v>
      </c>
    </row>
    <row r="66" spans="2:9" ht="15" customHeight="1" x14ac:dyDescent="0.2">
      <c r="B66" t="s">
        <v>176</v>
      </c>
      <c r="C66" s="12">
        <v>117</v>
      </c>
      <c r="D66" s="8">
        <v>1.54</v>
      </c>
      <c r="E66" s="12">
        <v>6</v>
      </c>
      <c r="F66" s="8">
        <v>0.24</v>
      </c>
      <c r="G66" s="12">
        <v>104</v>
      </c>
      <c r="H66" s="8">
        <v>2.0299999999999998</v>
      </c>
      <c r="I66" s="12">
        <v>7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ADB9-7AE1-40A3-A889-E188C669849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702</v>
      </c>
      <c r="D6" s="8">
        <v>5.34</v>
      </c>
      <c r="E6" s="12">
        <v>76</v>
      </c>
      <c r="F6" s="8">
        <v>1.82</v>
      </c>
      <c r="G6" s="12">
        <v>626</v>
      </c>
      <c r="H6" s="8">
        <v>6.99</v>
      </c>
      <c r="I6" s="12">
        <v>0</v>
      </c>
    </row>
    <row r="7" spans="2:9" ht="15" customHeight="1" x14ac:dyDescent="0.2">
      <c r="B7" t="s">
        <v>67</v>
      </c>
      <c r="C7" s="12">
        <v>1897</v>
      </c>
      <c r="D7" s="8">
        <v>14.42</v>
      </c>
      <c r="E7" s="12">
        <v>508</v>
      </c>
      <c r="F7" s="8">
        <v>12.14</v>
      </c>
      <c r="G7" s="12">
        <v>1389</v>
      </c>
      <c r="H7" s="8">
        <v>15.51</v>
      </c>
      <c r="I7" s="12">
        <v>0</v>
      </c>
    </row>
    <row r="8" spans="2:9" ht="15" customHeight="1" x14ac:dyDescent="0.2">
      <c r="B8" t="s">
        <v>68</v>
      </c>
      <c r="C8" s="12">
        <v>9</v>
      </c>
      <c r="D8" s="8">
        <v>7.0000000000000007E-2</v>
      </c>
      <c r="E8" s="12">
        <v>0</v>
      </c>
      <c r="F8" s="8">
        <v>0</v>
      </c>
      <c r="G8" s="12">
        <v>9</v>
      </c>
      <c r="H8" s="8">
        <v>0.1</v>
      </c>
      <c r="I8" s="12">
        <v>0</v>
      </c>
    </row>
    <row r="9" spans="2:9" ht="15" customHeight="1" x14ac:dyDescent="0.2">
      <c r="B9" t="s">
        <v>69</v>
      </c>
      <c r="C9" s="12">
        <v>357</v>
      </c>
      <c r="D9" s="8">
        <v>2.71</v>
      </c>
      <c r="E9" s="12">
        <v>8</v>
      </c>
      <c r="F9" s="8">
        <v>0.19</v>
      </c>
      <c r="G9" s="12">
        <v>348</v>
      </c>
      <c r="H9" s="8">
        <v>3.89</v>
      </c>
      <c r="I9" s="12">
        <v>1</v>
      </c>
    </row>
    <row r="10" spans="2:9" ht="15" customHeight="1" x14ac:dyDescent="0.2">
      <c r="B10" t="s">
        <v>70</v>
      </c>
      <c r="C10" s="12">
        <v>97</v>
      </c>
      <c r="D10" s="8">
        <v>0.74</v>
      </c>
      <c r="E10" s="12">
        <v>15</v>
      </c>
      <c r="F10" s="8">
        <v>0.36</v>
      </c>
      <c r="G10" s="12">
        <v>82</v>
      </c>
      <c r="H10" s="8">
        <v>0.92</v>
      </c>
      <c r="I10" s="12">
        <v>0</v>
      </c>
    </row>
    <row r="11" spans="2:9" ht="15" customHeight="1" x14ac:dyDescent="0.2">
      <c r="B11" t="s">
        <v>71</v>
      </c>
      <c r="C11" s="12">
        <v>4124</v>
      </c>
      <c r="D11" s="8">
        <v>31.34</v>
      </c>
      <c r="E11" s="12">
        <v>874</v>
      </c>
      <c r="F11" s="8">
        <v>20.88</v>
      </c>
      <c r="G11" s="12">
        <v>3247</v>
      </c>
      <c r="H11" s="8">
        <v>36.270000000000003</v>
      </c>
      <c r="I11" s="12">
        <v>3</v>
      </c>
    </row>
    <row r="12" spans="2:9" ht="15" customHeight="1" x14ac:dyDescent="0.2">
      <c r="B12" t="s">
        <v>72</v>
      </c>
      <c r="C12" s="12">
        <v>48</v>
      </c>
      <c r="D12" s="8">
        <v>0.36</v>
      </c>
      <c r="E12" s="12">
        <v>3</v>
      </c>
      <c r="F12" s="8">
        <v>7.0000000000000007E-2</v>
      </c>
      <c r="G12" s="12">
        <v>45</v>
      </c>
      <c r="H12" s="8">
        <v>0.5</v>
      </c>
      <c r="I12" s="12">
        <v>0</v>
      </c>
    </row>
    <row r="13" spans="2:9" ht="15" customHeight="1" x14ac:dyDescent="0.2">
      <c r="B13" t="s">
        <v>73</v>
      </c>
      <c r="C13" s="12">
        <v>1678</v>
      </c>
      <c r="D13" s="8">
        <v>12.75</v>
      </c>
      <c r="E13" s="12">
        <v>451</v>
      </c>
      <c r="F13" s="8">
        <v>10.78</v>
      </c>
      <c r="G13" s="12">
        <v>1226</v>
      </c>
      <c r="H13" s="8">
        <v>13.69</v>
      </c>
      <c r="I13" s="12">
        <v>1</v>
      </c>
    </row>
    <row r="14" spans="2:9" ht="15" customHeight="1" x14ac:dyDescent="0.2">
      <c r="B14" t="s">
        <v>74</v>
      </c>
      <c r="C14" s="12">
        <v>951</v>
      </c>
      <c r="D14" s="8">
        <v>7.23</v>
      </c>
      <c r="E14" s="12">
        <v>400</v>
      </c>
      <c r="F14" s="8">
        <v>9.56</v>
      </c>
      <c r="G14" s="12">
        <v>547</v>
      </c>
      <c r="H14" s="8">
        <v>6.11</v>
      </c>
      <c r="I14" s="12">
        <v>3</v>
      </c>
    </row>
    <row r="15" spans="2:9" ht="15" customHeight="1" x14ac:dyDescent="0.2">
      <c r="B15" t="s">
        <v>75</v>
      </c>
      <c r="C15" s="12">
        <v>1762</v>
      </c>
      <c r="D15" s="8">
        <v>13.39</v>
      </c>
      <c r="E15" s="12">
        <v>1128</v>
      </c>
      <c r="F15" s="8">
        <v>26.95</v>
      </c>
      <c r="G15" s="12">
        <v>633</v>
      </c>
      <c r="H15" s="8">
        <v>7.07</v>
      </c>
      <c r="I15" s="12">
        <v>1</v>
      </c>
    </row>
    <row r="16" spans="2:9" ht="15" customHeight="1" x14ac:dyDescent="0.2">
      <c r="B16" t="s">
        <v>76</v>
      </c>
      <c r="C16" s="12">
        <v>654</v>
      </c>
      <c r="D16" s="8">
        <v>4.97</v>
      </c>
      <c r="E16" s="12">
        <v>360</v>
      </c>
      <c r="F16" s="8">
        <v>8.6</v>
      </c>
      <c r="G16" s="12">
        <v>293</v>
      </c>
      <c r="H16" s="8">
        <v>3.27</v>
      </c>
      <c r="I16" s="12">
        <v>1</v>
      </c>
    </row>
    <row r="17" spans="2:9" ht="15" customHeight="1" x14ac:dyDescent="0.2">
      <c r="B17" t="s">
        <v>77</v>
      </c>
      <c r="C17" s="12">
        <v>147</v>
      </c>
      <c r="D17" s="8">
        <v>1.1200000000000001</v>
      </c>
      <c r="E17" s="12">
        <v>69</v>
      </c>
      <c r="F17" s="8">
        <v>1.65</v>
      </c>
      <c r="G17" s="12">
        <v>72</v>
      </c>
      <c r="H17" s="8">
        <v>0.8</v>
      </c>
      <c r="I17" s="12">
        <v>3</v>
      </c>
    </row>
    <row r="18" spans="2:9" ht="15" customHeight="1" x14ac:dyDescent="0.2">
      <c r="B18" t="s">
        <v>78</v>
      </c>
      <c r="C18" s="12">
        <v>377</v>
      </c>
      <c r="D18" s="8">
        <v>2.87</v>
      </c>
      <c r="E18" s="12">
        <v>253</v>
      </c>
      <c r="F18" s="8">
        <v>6.05</v>
      </c>
      <c r="G18" s="12">
        <v>124</v>
      </c>
      <c r="H18" s="8">
        <v>1.39</v>
      </c>
      <c r="I18" s="12">
        <v>0</v>
      </c>
    </row>
    <row r="19" spans="2:9" ht="15" customHeight="1" x14ac:dyDescent="0.2">
      <c r="B19" t="s">
        <v>79</v>
      </c>
      <c r="C19" s="12">
        <v>353</v>
      </c>
      <c r="D19" s="8">
        <v>2.68</v>
      </c>
      <c r="E19" s="12">
        <v>40</v>
      </c>
      <c r="F19" s="8">
        <v>0.96</v>
      </c>
      <c r="G19" s="12">
        <v>311</v>
      </c>
      <c r="H19" s="8">
        <v>3.47</v>
      </c>
      <c r="I19" s="12">
        <v>1</v>
      </c>
    </row>
    <row r="20" spans="2:9" ht="15" customHeight="1" x14ac:dyDescent="0.2">
      <c r="B20" s="9" t="s">
        <v>280</v>
      </c>
      <c r="C20" s="12">
        <f>SUM(LTBL_13106[総数／事業所数])</f>
        <v>13157</v>
      </c>
      <c r="E20" s="12">
        <f>SUBTOTAL(109,LTBL_13106[個人／事業所数])</f>
        <v>4185</v>
      </c>
      <c r="G20" s="12">
        <f>SUBTOTAL(109,LTBL_13106[法人／事業所数])</f>
        <v>8953</v>
      </c>
      <c r="I20" s="12">
        <f>SUBTOTAL(109,LTBL_13106[法人以外の団体／事業所数])</f>
        <v>14</v>
      </c>
    </row>
    <row r="21" spans="2:9" ht="15" customHeight="1" x14ac:dyDescent="0.2">
      <c r="E21" s="11">
        <f>LTBL_13106[[#Totals],[個人／事業所数]]/LTBL_13106[[#Totals],[総数／事業所数]]</f>
        <v>0.31808162955080943</v>
      </c>
      <c r="G21" s="11">
        <f>LTBL_13106[[#Totals],[法人／事業所数]]/LTBL_13106[[#Totals],[総数／事業所数]]</f>
        <v>0.68047427225051305</v>
      </c>
      <c r="I21" s="11">
        <f>LTBL_13106[[#Totals],[法人以外の団体／事業所数]]/LTBL_13106[[#Totals],[総数／事業所数]]</f>
        <v>1.0640723569202706E-3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1570</v>
      </c>
      <c r="D24" s="8">
        <v>11.93</v>
      </c>
      <c r="E24" s="12">
        <v>1095</v>
      </c>
      <c r="F24" s="8">
        <v>26.16</v>
      </c>
      <c r="G24" s="12">
        <v>474</v>
      </c>
      <c r="H24" s="8">
        <v>5.29</v>
      </c>
      <c r="I24" s="12">
        <v>1</v>
      </c>
    </row>
    <row r="25" spans="2:9" ht="15" customHeight="1" x14ac:dyDescent="0.2">
      <c r="B25" t="s">
        <v>100</v>
      </c>
      <c r="C25" s="12">
        <v>1414</v>
      </c>
      <c r="D25" s="8">
        <v>10.75</v>
      </c>
      <c r="E25" s="12">
        <v>429</v>
      </c>
      <c r="F25" s="8">
        <v>10.25</v>
      </c>
      <c r="G25" s="12">
        <v>984</v>
      </c>
      <c r="H25" s="8">
        <v>10.99</v>
      </c>
      <c r="I25" s="12">
        <v>1</v>
      </c>
    </row>
    <row r="26" spans="2:9" ht="15" customHeight="1" x14ac:dyDescent="0.2">
      <c r="B26" t="s">
        <v>94</v>
      </c>
      <c r="C26" s="12">
        <v>890</v>
      </c>
      <c r="D26" s="8">
        <v>6.76</v>
      </c>
      <c r="E26" s="12">
        <v>61</v>
      </c>
      <c r="F26" s="8">
        <v>1.46</v>
      </c>
      <c r="G26" s="12">
        <v>828</v>
      </c>
      <c r="H26" s="8">
        <v>9.25</v>
      </c>
      <c r="I26" s="12">
        <v>1</v>
      </c>
    </row>
    <row r="27" spans="2:9" ht="15" customHeight="1" x14ac:dyDescent="0.2">
      <c r="B27" t="s">
        <v>98</v>
      </c>
      <c r="C27" s="12">
        <v>813</v>
      </c>
      <c r="D27" s="8">
        <v>6.18</v>
      </c>
      <c r="E27" s="12">
        <v>310</v>
      </c>
      <c r="F27" s="8">
        <v>7.41</v>
      </c>
      <c r="G27" s="12">
        <v>503</v>
      </c>
      <c r="H27" s="8">
        <v>5.62</v>
      </c>
      <c r="I27" s="12">
        <v>0</v>
      </c>
    </row>
    <row r="28" spans="2:9" ht="15" customHeight="1" x14ac:dyDescent="0.2">
      <c r="B28" t="s">
        <v>101</v>
      </c>
      <c r="C28" s="12">
        <v>674</v>
      </c>
      <c r="D28" s="8">
        <v>5.12</v>
      </c>
      <c r="E28" s="12">
        <v>358</v>
      </c>
      <c r="F28" s="8">
        <v>8.5500000000000007</v>
      </c>
      <c r="G28" s="12">
        <v>314</v>
      </c>
      <c r="H28" s="8">
        <v>3.51</v>
      </c>
      <c r="I28" s="12">
        <v>2</v>
      </c>
    </row>
    <row r="29" spans="2:9" ht="15" customHeight="1" x14ac:dyDescent="0.2">
      <c r="B29" t="s">
        <v>95</v>
      </c>
      <c r="C29" s="12">
        <v>483</v>
      </c>
      <c r="D29" s="8">
        <v>3.67</v>
      </c>
      <c r="E29" s="12">
        <v>179</v>
      </c>
      <c r="F29" s="8">
        <v>4.28</v>
      </c>
      <c r="G29" s="12">
        <v>303</v>
      </c>
      <c r="H29" s="8">
        <v>3.38</v>
      </c>
      <c r="I29" s="12">
        <v>1</v>
      </c>
    </row>
    <row r="30" spans="2:9" ht="15" customHeight="1" x14ac:dyDescent="0.2">
      <c r="B30" t="s">
        <v>104</v>
      </c>
      <c r="C30" s="12">
        <v>473</v>
      </c>
      <c r="D30" s="8">
        <v>3.6</v>
      </c>
      <c r="E30" s="12">
        <v>318</v>
      </c>
      <c r="F30" s="8">
        <v>7.6</v>
      </c>
      <c r="G30" s="12">
        <v>154</v>
      </c>
      <c r="H30" s="8">
        <v>1.72</v>
      </c>
      <c r="I30" s="12">
        <v>1</v>
      </c>
    </row>
    <row r="31" spans="2:9" ht="15" customHeight="1" x14ac:dyDescent="0.2">
      <c r="B31" t="s">
        <v>112</v>
      </c>
      <c r="C31" s="12">
        <v>434</v>
      </c>
      <c r="D31" s="8">
        <v>3.3</v>
      </c>
      <c r="E31" s="12">
        <v>32</v>
      </c>
      <c r="F31" s="8">
        <v>0.76</v>
      </c>
      <c r="G31" s="12">
        <v>401</v>
      </c>
      <c r="H31" s="8">
        <v>4.4800000000000004</v>
      </c>
      <c r="I31" s="12">
        <v>1</v>
      </c>
    </row>
    <row r="32" spans="2:9" ht="15" customHeight="1" x14ac:dyDescent="0.2">
      <c r="B32" t="s">
        <v>96</v>
      </c>
      <c r="C32" s="12">
        <v>421</v>
      </c>
      <c r="D32" s="8">
        <v>3.2</v>
      </c>
      <c r="E32" s="12">
        <v>189</v>
      </c>
      <c r="F32" s="8">
        <v>4.5199999999999996</v>
      </c>
      <c r="G32" s="12">
        <v>232</v>
      </c>
      <c r="H32" s="8">
        <v>2.59</v>
      </c>
      <c r="I32" s="12">
        <v>0</v>
      </c>
    </row>
    <row r="33" spans="2:9" ht="15" customHeight="1" x14ac:dyDescent="0.2">
      <c r="B33" t="s">
        <v>117</v>
      </c>
      <c r="C33" s="12">
        <v>402</v>
      </c>
      <c r="D33" s="8">
        <v>3.06</v>
      </c>
      <c r="E33" s="12">
        <v>109</v>
      </c>
      <c r="F33" s="8">
        <v>2.6</v>
      </c>
      <c r="G33" s="12">
        <v>293</v>
      </c>
      <c r="H33" s="8">
        <v>3.27</v>
      </c>
      <c r="I33" s="12">
        <v>0</v>
      </c>
    </row>
    <row r="34" spans="2:9" ht="15" customHeight="1" x14ac:dyDescent="0.2">
      <c r="B34" t="s">
        <v>93</v>
      </c>
      <c r="C34" s="12">
        <v>384</v>
      </c>
      <c r="D34" s="8">
        <v>2.92</v>
      </c>
      <c r="E34" s="12">
        <v>20</v>
      </c>
      <c r="F34" s="8">
        <v>0.48</v>
      </c>
      <c r="G34" s="12">
        <v>364</v>
      </c>
      <c r="H34" s="8">
        <v>4.07</v>
      </c>
      <c r="I34" s="12">
        <v>0</v>
      </c>
    </row>
    <row r="35" spans="2:9" ht="15" customHeight="1" x14ac:dyDescent="0.2">
      <c r="B35" t="s">
        <v>108</v>
      </c>
      <c r="C35" s="12">
        <v>319</v>
      </c>
      <c r="D35" s="8">
        <v>2.42</v>
      </c>
      <c r="E35" s="12">
        <v>55</v>
      </c>
      <c r="F35" s="8">
        <v>1.31</v>
      </c>
      <c r="G35" s="12">
        <v>264</v>
      </c>
      <c r="H35" s="8">
        <v>2.95</v>
      </c>
      <c r="I35" s="12">
        <v>0</v>
      </c>
    </row>
    <row r="36" spans="2:9" ht="15" customHeight="1" x14ac:dyDescent="0.2">
      <c r="B36" t="s">
        <v>116</v>
      </c>
      <c r="C36" s="12">
        <v>313</v>
      </c>
      <c r="D36" s="8">
        <v>2.38</v>
      </c>
      <c r="E36" s="12">
        <v>131</v>
      </c>
      <c r="F36" s="8">
        <v>3.13</v>
      </c>
      <c r="G36" s="12">
        <v>182</v>
      </c>
      <c r="H36" s="8">
        <v>2.0299999999999998</v>
      </c>
      <c r="I36" s="12">
        <v>0</v>
      </c>
    </row>
    <row r="37" spans="2:9" ht="15" customHeight="1" x14ac:dyDescent="0.2">
      <c r="B37" t="s">
        <v>106</v>
      </c>
      <c r="C37" s="12">
        <v>313</v>
      </c>
      <c r="D37" s="8">
        <v>2.38</v>
      </c>
      <c r="E37" s="12">
        <v>252</v>
      </c>
      <c r="F37" s="8">
        <v>6.02</v>
      </c>
      <c r="G37" s="12">
        <v>61</v>
      </c>
      <c r="H37" s="8">
        <v>0.68</v>
      </c>
      <c r="I37" s="12">
        <v>0</v>
      </c>
    </row>
    <row r="38" spans="2:9" ht="15" customHeight="1" x14ac:dyDescent="0.2">
      <c r="B38" t="s">
        <v>89</v>
      </c>
      <c r="C38" s="12">
        <v>267</v>
      </c>
      <c r="D38" s="8">
        <v>2.0299999999999998</v>
      </c>
      <c r="E38" s="12">
        <v>41</v>
      </c>
      <c r="F38" s="8">
        <v>0.98</v>
      </c>
      <c r="G38" s="12">
        <v>226</v>
      </c>
      <c r="H38" s="8">
        <v>2.52</v>
      </c>
      <c r="I38" s="12">
        <v>0</v>
      </c>
    </row>
    <row r="39" spans="2:9" ht="15" customHeight="1" x14ac:dyDescent="0.2">
      <c r="B39" t="s">
        <v>90</v>
      </c>
      <c r="C39" s="12">
        <v>245</v>
      </c>
      <c r="D39" s="8">
        <v>1.86</v>
      </c>
      <c r="E39" s="12">
        <v>12</v>
      </c>
      <c r="F39" s="8">
        <v>0.28999999999999998</v>
      </c>
      <c r="G39" s="12">
        <v>233</v>
      </c>
      <c r="H39" s="8">
        <v>2.6</v>
      </c>
      <c r="I39" s="12">
        <v>0</v>
      </c>
    </row>
    <row r="40" spans="2:9" ht="15" customHeight="1" x14ac:dyDescent="0.2">
      <c r="B40" t="s">
        <v>110</v>
      </c>
      <c r="C40" s="12">
        <v>244</v>
      </c>
      <c r="D40" s="8">
        <v>1.85</v>
      </c>
      <c r="E40" s="12">
        <v>17</v>
      </c>
      <c r="F40" s="8">
        <v>0.41</v>
      </c>
      <c r="G40" s="12">
        <v>227</v>
      </c>
      <c r="H40" s="8">
        <v>2.54</v>
      </c>
      <c r="I40" s="12">
        <v>0</v>
      </c>
    </row>
    <row r="41" spans="2:9" ht="15" customHeight="1" x14ac:dyDescent="0.2">
      <c r="B41" t="s">
        <v>107</v>
      </c>
      <c r="C41" s="12">
        <v>230</v>
      </c>
      <c r="D41" s="8">
        <v>1.75</v>
      </c>
      <c r="E41" s="12">
        <v>19</v>
      </c>
      <c r="F41" s="8">
        <v>0.45</v>
      </c>
      <c r="G41" s="12">
        <v>210</v>
      </c>
      <c r="H41" s="8">
        <v>2.35</v>
      </c>
      <c r="I41" s="12">
        <v>1</v>
      </c>
    </row>
    <row r="42" spans="2:9" ht="15" customHeight="1" x14ac:dyDescent="0.2">
      <c r="B42" t="s">
        <v>99</v>
      </c>
      <c r="C42" s="12">
        <v>223</v>
      </c>
      <c r="D42" s="8">
        <v>1.69</v>
      </c>
      <c r="E42" s="12">
        <v>20</v>
      </c>
      <c r="F42" s="8">
        <v>0.48</v>
      </c>
      <c r="G42" s="12">
        <v>203</v>
      </c>
      <c r="H42" s="8">
        <v>2.27</v>
      </c>
      <c r="I42" s="12">
        <v>0</v>
      </c>
    </row>
    <row r="43" spans="2:9" ht="15" customHeight="1" x14ac:dyDescent="0.2">
      <c r="B43" t="s">
        <v>102</v>
      </c>
      <c r="C43" s="12">
        <v>218</v>
      </c>
      <c r="D43" s="8">
        <v>1.66</v>
      </c>
      <c r="E43" s="12">
        <v>39</v>
      </c>
      <c r="F43" s="8">
        <v>0.93</v>
      </c>
      <c r="G43" s="12">
        <v>178</v>
      </c>
      <c r="H43" s="8">
        <v>1.99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667</v>
      </c>
      <c r="D47" s="8">
        <v>5.07</v>
      </c>
      <c r="E47" s="12">
        <v>241</v>
      </c>
      <c r="F47" s="8">
        <v>5.76</v>
      </c>
      <c r="G47" s="12">
        <v>426</v>
      </c>
      <c r="H47" s="8">
        <v>4.76</v>
      </c>
      <c r="I47" s="12">
        <v>0</v>
      </c>
    </row>
    <row r="48" spans="2:9" ht="15" customHeight="1" x14ac:dyDescent="0.2">
      <c r="B48" t="s">
        <v>177</v>
      </c>
      <c r="C48" s="12">
        <v>663</v>
      </c>
      <c r="D48" s="8">
        <v>5.04</v>
      </c>
      <c r="E48" s="12">
        <v>39</v>
      </c>
      <c r="F48" s="8">
        <v>0.93</v>
      </c>
      <c r="G48" s="12">
        <v>624</v>
      </c>
      <c r="H48" s="8">
        <v>6.97</v>
      </c>
      <c r="I48" s="12">
        <v>0</v>
      </c>
    </row>
    <row r="49" spans="2:9" ht="15" customHeight="1" x14ac:dyDescent="0.2">
      <c r="B49" t="s">
        <v>168</v>
      </c>
      <c r="C49" s="12">
        <v>527</v>
      </c>
      <c r="D49" s="8">
        <v>4.01</v>
      </c>
      <c r="E49" s="12">
        <v>332</v>
      </c>
      <c r="F49" s="8">
        <v>7.93</v>
      </c>
      <c r="G49" s="12">
        <v>195</v>
      </c>
      <c r="H49" s="8">
        <v>2.1800000000000002</v>
      </c>
      <c r="I49" s="12">
        <v>0</v>
      </c>
    </row>
    <row r="50" spans="2:9" ht="15" customHeight="1" x14ac:dyDescent="0.2">
      <c r="B50" t="s">
        <v>161</v>
      </c>
      <c r="C50" s="12">
        <v>442</v>
      </c>
      <c r="D50" s="8">
        <v>3.36</v>
      </c>
      <c r="E50" s="12">
        <v>120</v>
      </c>
      <c r="F50" s="8">
        <v>2.87</v>
      </c>
      <c r="G50" s="12">
        <v>322</v>
      </c>
      <c r="H50" s="8">
        <v>3.6</v>
      </c>
      <c r="I50" s="12">
        <v>0</v>
      </c>
    </row>
    <row r="51" spans="2:9" ht="15" customHeight="1" x14ac:dyDescent="0.2">
      <c r="B51" t="s">
        <v>159</v>
      </c>
      <c r="C51" s="12">
        <v>379</v>
      </c>
      <c r="D51" s="8">
        <v>2.88</v>
      </c>
      <c r="E51" s="12">
        <v>174</v>
      </c>
      <c r="F51" s="8">
        <v>4.16</v>
      </c>
      <c r="G51" s="12">
        <v>205</v>
      </c>
      <c r="H51" s="8">
        <v>2.29</v>
      </c>
      <c r="I51" s="12">
        <v>0</v>
      </c>
    </row>
    <row r="52" spans="2:9" ht="15" customHeight="1" x14ac:dyDescent="0.2">
      <c r="B52" t="s">
        <v>169</v>
      </c>
      <c r="C52" s="12">
        <v>349</v>
      </c>
      <c r="D52" s="8">
        <v>2.65</v>
      </c>
      <c r="E52" s="12">
        <v>268</v>
      </c>
      <c r="F52" s="8">
        <v>6.4</v>
      </c>
      <c r="G52" s="12">
        <v>81</v>
      </c>
      <c r="H52" s="8">
        <v>0.9</v>
      </c>
      <c r="I52" s="12">
        <v>0</v>
      </c>
    </row>
    <row r="53" spans="2:9" ht="15" customHeight="1" x14ac:dyDescent="0.2">
      <c r="B53" t="s">
        <v>189</v>
      </c>
      <c r="C53" s="12">
        <v>275</v>
      </c>
      <c r="D53" s="8">
        <v>2.09</v>
      </c>
      <c r="E53" s="12">
        <v>22</v>
      </c>
      <c r="F53" s="8">
        <v>0.53</v>
      </c>
      <c r="G53" s="12">
        <v>252</v>
      </c>
      <c r="H53" s="8">
        <v>2.81</v>
      </c>
      <c r="I53" s="12">
        <v>1</v>
      </c>
    </row>
    <row r="54" spans="2:9" ht="15" customHeight="1" x14ac:dyDescent="0.2">
      <c r="B54" t="s">
        <v>178</v>
      </c>
      <c r="C54" s="12">
        <v>235</v>
      </c>
      <c r="D54" s="8">
        <v>1.79</v>
      </c>
      <c r="E54" s="12">
        <v>34</v>
      </c>
      <c r="F54" s="8">
        <v>0.81</v>
      </c>
      <c r="G54" s="12">
        <v>201</v>
      </c>
      <c r="H54" s="8">
        <v>2.25</v>
      </c>
      <c r="I54" s="12">
        <v>0</v>
      </c>
    </row>
    <row r="55" spans="2:9" ht="15" customHeight="1" x14ac:dyDescent="0.2">
      <c r="B55" t="s">
        <v>170</v>
      </c>
      <c r="C55" s="12">
        <v>234</v>
      </c>
      <c r="D55" s="8">
        <v>1.78</v>
      </c>
      <c r="E55" s="12">
        <v>195</v>
      </c>
      <c r="F55" s="8">
        <v>4.66</v>
      </c>
      <c r="G55" s="12">
        <v>38</v>
      </c>
      <c r="H55" s="8">
        <v>0.42</v>
      </c>
      <c r="I55" s="12">
        <v>1</v>
      </c>
    </row>
    <row r="56" spans="2:9" ht="15" customHeight="1" x14ac:dyDescent="0.2">
      <c r="B56" t="s">
        <v>164</v>
      </c>
      <c r="C56" s="12">
        <v>223</v>
      </c>
      <c r="D56" s="8">
        <v>1.69</v>
      </c>
      <c r="E56" s="12">
        <v>215</v>
      </c>
      <c r="F56" s="8">
        <v>5.14</v>
      </c>
      <c r="G56" s="12">
        <v>8</v>
      </c>
      <c r="H56" s="8">
        <v>0.09</v>
      </c>
      <c r="I56" s="12">
        <v>0</v>
      </c>
    </row>
    <row r="57" spans="2:9" ht="15" customHeight="1" x14ac:dyDescent="0.2">
      <c r="B57" t="s">
        <v>190</v>
      </c>
      <c r="C57" s="12">
        <v>219</v>
      </c>
      <c r="D57" s="8">
        <v>1.66</v>
      </c>
      <c r="E57" s="12">
        <v>80</v>
      </c>
      <c r="F57" s="8">
        <v>1.91</v>
      </c>
      <c r="G57" s="12">
        <v>138</v>
      </c>
      <c r="H57" s="8">
        <v>1.54</v>
      </c>
      <c r="I57" s="12">
        <v>1</v>
      </c>
    </row>
    <row r="58" spans="2:9" ht="15" customHeight="1" x14ac:dyDescent="0.2">
      <c r="B58" t="s">
        <v>163</v>
      </c>
      <c r="C58" s="12">
        <v>211</v>
      </c>
      <c r="D58" s="8">
        <v>1.6</v>
      </c>
      <c r="E58" s="12">
        <v>7</v>
      </c>
      <c r="F58" s="8">
        <v>0.17</v>
      </c>
      <c r="G58" s="12">
        <v>203</v>
      </c>
      <c r="H58" s="8">
        <v>2.27</v>
      </c>
      <c r="I58" s="12">
        <v>1</v>
      </c>
    </row>
    <row r="59" spans="2:9" ht="15" customHeight="1" x14ac:dyDescent="0.2">
      <c r="B59" t="s">
        <v>157</v>
      </c>
      <c r="C59" s="12">
        <v>189</v>
      </c>
      <c r="D59" s="8">
        <v>1.44</v>
      </c>
      <c r="E59" s="12">
        <v>3</v>
      </c>
      <c r="F59" s="8">
        <v>7.0000000000000007E-2</v>
      </c>
      <c r="G59" s="12">
        <v>186</v>
      </c>
      <c r="H59" s="8">
        <v>2.08</v>
      </c>
      <c r="I59" s="12">
        <v>0</v>
      </c>
    </row>
    <row r="60" spans="2:9" ht="15" customHeight="1" x14ac:dyDescent="0.2">
      <c r="B60" t="s">
        <v>158</v>
      </c>
      <c r="C60" s="12">
        <v>187</v>
      </c>
      <c r="D60" s="8">
        <v>1.42</v>
      </c>
      <c r="E60" s="12">
        <v>87</v>
      </c>
      <c r="F60" s="8">
        <v>2.08</v>
      </c>
      <c r="G60" s="12">
        <v>100</v>
      </c>
      <c r="H60" s="8">
        <v>1.1200000000000001</v>
      </c>
      <c r="I60" s="12">
        <v>0</v>
      </c>
    </row>
    <row r="61" spans="2:9" ht="15" customHeight="1" x14ac:dyDescent="0.2">
      <c r="B61" t="s">
        <v>160</v>
      </c>
      <c r="C61" s="12">
        <v>185</v>
      </c>
      <c r="D61" s="8">
        <v>1.41</v>
      </c>
      <c r="E61" s="12">
        <v>19</v>
      </c>
      <c r="F61" s="8">
        <v>0.45</v>
      </c>
      <c r="G61" s="12">
        <v>166</v>
      </c>
      <c r="H61" s="8">
        <v>1.85</v>
      </c>
      <c r="I61" s="12">
        <v>0</v>
      </c>
    </row>
    <row r="62" spans="2:9" ht="15" customHeight="1" x14ac:dyDescent="0.2">
      <c r="B62" t="s">
        <v>188</v>
      </c>
      <c r="C62" s="12">
        <v>184</v>
      </c>
      <c r="D62" s="8">
        <v>1.4</v>
      </c>
      <c r="E62" s="12">
        <v>55</v>
      </c>
      <c r="F62" s="8">
        <v>1.31</v>
      </c>
      <c r="G62" s="12">
        <v>129</v>
      </c>
      <c r="H62" s="8">
        <v>1.44</v>
      </c>
      <c r="I62" s="12">
        <v>0</v>
      </c>
    </row>
    <row r="63" spans="2:9" ht="15" customHeight="1" x14ac:dyDescent="0.2">
      <c r="B63" t="s">
        <v>191</v>
      </c>
      <c r="C63" s="12">
        <v>181</v>
      </c>
      <c r="D63" s="8">
        <v>1.38</v>
      </c>
      <c r="E63" s="12">
        <v>132</v>
      </c>
      <c r="F63" s="8">
        <v>3.15</v>
      </c>
      <c r="G63" s="12">
        <v>49</v>
      </c>
      <c r="H63" s="8">
        <v>0.55000000000000004</v>
      </c>
      <c r="I63" s="12">
        <v>0</v>
      </c>
    </row>
    <row r="64" spans="2:9" ht="15" customHeight="1" x14ac:dyDescent="0.2">
      <c r="B64" t="s">
        <v>175</v>
      </c>
      <c r="C64" s="12">
        <v>168</v>
      </c>
      <c r="D64" s="8">
        <v>1.28</v>
      </c>
      <c r="E64" s="12">
        <v>127</v>
      </c>
      <c r="F64" s="8">
        <v>3.03</v>
      </c>
      <c r="G64" s="12">
        <v>41</v>
      </c>
      <c r="H64" s="8">
        <v>0.46</v>
      </c>
      <c r="I64" s="12">
        <v>0</v>
      </c>
    </row>
    <row r="65" spans="2:9" ht="15" customHeight="1" x14ac:dyDescent="0.2">
      <c r="B65" t="s">
        <v>172</v>
      </c>
      <c r="C65" s="12">
        <v>160</v>
      </c>
      <c r="D65" s="8">
        <v>1.22</v>
      </c>
      <c r="E65" s="12">
        <v>128</v>
      </c>
      <c r="F65" s="8">
        <v>3.06</v>
      </c>
      <c r="G65" s="12">
        <v>32</v>
      </c>
      <c r="H65" s="8">
        <v>0.36</v>
      </c>
      <c r="I65" s="12">
        <v>0</v>
      </c>
    </row>
    <row r="66" spans="2:9" ht="15" customHeight="1" x14ac:dyDescent="0.2">
      <c r="B66" t="s">
        <v>176</v>
      </c>
      <c r="C66" s="12">
        <v>154</v>
      </c>
      <c r="D66" s="8">
        <v>1.17</v>
      </c>
      <c r="E66" s="12">
        <v>15</v>
      </c>
      <c r="F66" s="8">
        <v>0.36</v>
      </c>
      <c r="G66" s="12">
        <v>138</v>
      </c>
      <c r="H66" s="8">
        <v>1.54</v>
      </c>
      <c r="I66" s="12">
        <v>1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A5C2-6869-4993-AE65-BC62B3CBE4F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739</v>
      </c>
      <c r="D6" s="8">
        <v>8.1199999999999992</v>
      </c>
      <c r="E6" s="12">
        <v>107</v>
      </c>
      <c r="F6" s="8">
        <v>3.27</v>
      </c>
      <c r="G6" s="12">
        <v>632</v>
      </c>
      <c r="H6" s="8">
        <v>10.87</v>
      </c>
      <c r="I6" s="12">
        <v>0</v>
      </c>
    </row>
    <row r="7" spans="2:9" ht="15" customHeight="1" x14ac:dyDescent="0.2">
      <c r="B7" t="s">
        <v>67</v>
      </c>
      <c r="C7" s="12">
        <v>2103</v>
      </c>
      <c r="D7" s="8">
        <v>23.11</v>
      </c>
      <c r="E7" s="12">
        <v>594</v>
      </c>
      <c r="F7" s="8">
        <v>18.149999999999999</v>
      </c>
      <c r="G7" s="12">
        <v>1509</v>
      </c>
      <c r="H7" s="8">
        <v>25.95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0.02</v>
      </c>
      <c r="E8" s="12">
        <v>0</v>
      </c>
      <c r="F8" s="8">
        <v>0</v>
      </c>
      <c r="G8" s="12">
        <v>2</v>
      </c>
      <c r="H8" s="8">
        <v>0.03</v>
      </c>
      <c r="I8" s="12">
        <v>0</v>
      </c>
    </row>
    <row r="9" spans="2:9" ht="15" customHeight="1" x14ac:dyDescent="0.2">
      <c r="B9" t="s">
        <v>69</v>
      </c>
      <c r="C9" s="12">
        <v>145</v>
      </c>
      <c r="D9" s="8">
        <v>1.59</v>
      </c>
      <c r="E9" s="12">
        <v>4</v>
      </c>
      <c r="F9" s="8">
        <v>0.12</v>
      </c>
      <c r="G9" s="12">
        <v>141</v>
      </c>
      <c r="H9" s="8">
        <v>2.4300000000000002</v>
      </c>
      <c r="I9" s="12">
        <v>0</v>
      </c>
    </row>
    <row r="10" spans="2:9" ht="15" customHeight="1" x14ac:dyDescent="0.2">
      <c r="B10" t="s">
        <v>70</v>
      </c>
      <c r="C10" s="12">
        <v>96</v>
      </c>
      <c r="D10" s="8">
        <v>1.05</v>
      </c>
      <c r="E10" s="12">
        <v>26</v>
      </c>
      <c r="F10" s="8">
        <v>0.79</v>
      </c>
      <c r="G10" s="12">
        <v>70</v>
      </c>
      <c r="H10" s="8">
        <v>1.2</v>
      </c>
      <c r="I10" s="12">
        <v>0</v>
      </c>
    </row>
    <row r="11" spans="2:9" ht="15" customHeight="1" x14ac:dyDescent="0.2">
      <c r="B11" t="s">
        <v>71</v>
      </c>
      <c r="C11" s="12">
        <v>2026</v>
      </c>
      <c r="D11" s="8">
        <v>22.26</v>
      </c>
      <c r="E11" s="12">
        <v>505</v>
      </c>
      <c r="F11" s="8">
        <v>15.43</v>
      </c>
      <c r="G11" s="12">
        <v>1521</v>
      </c>
      <c r="H11" s="8">
        <v>26.16</v>
      </c>
      <c r="I11" s="12">
        <v>0</v>
      </c>
    </row>
    <row r="12" spans="2:9" ht="15" customHeight="1" x14ac:dyDescent="0.2">
      <c r="B12" t="s">
        <v>72</v>
      </c>
      <c r="C12" s="12">
        <v>42</v>
      </c>
      <c r="D12" s="8">
        <v>0.46</v>
      </c>
      <c r="E12" s="12">
        <v>4</v>
      </c>
      <c r="F12" s="8">
        <v>0.12</v>
      </c>
      <c r="G12" s="12">
        <v>38</v>
      </c>
      <c r="H12" s="8">
        <v>0.65</v>
      </c>
      <c r="I12" s="12">
        <v>0</v>
      </c>
    </row>
    <row r="13" spans="2:9" ht="15" customHeight="1" x14ac:dyDescent="0.2">
      <c r="B13" t="s">
        <v>73</v>
      </c>
      <c r="C13" s="12">
        <v>1038</v>
      </c>
      <c r="D13" s="8">
        <v>11.41</v>
      </c>
      <c r="E13" s="12">
        <v>280</v>
      </c>
      <c r="F13" s="8">
        <v>8.5500000000000007</v>
      </c>
      <c r="G13" s="12">
        <v>755</v>
      </c>
      <c r="H13" s="8">
        <v>12.99</v>
      </c>
      <c r="I13" s="12">
        <v>3</v>
      </c>
    </row>
    <row r="14" spans="2:9" ht="15" customHeight="1" x14ac:dyDescent="0.2">
      <c r="B14" t="s">
        <v>74</v>
      </c>
      <c r="C14" s="12">
        <v>468</v>
      </c>
      <c r="D14" s="8">
        <v>5.14</v>
      </c>
      <c r="E14" s="12">
        <v>225</v>
      </c>
      <c r="F14" s="8">
        <v>6.87</v>
      </c>
      <c r="G14" s="12">
        <v>241</v>
      </c>
      <c r="H14" s="8">
        <v>4.1500000000000004</v>
      </c>
      <c r="I14" s="12">
        <v>1</v>
      </c>
    </row>
    <row r="15" spans="2:9" ht="15" customHeight="1" x14ac:dyDescent="0.2">
      <c r="B15" t="s">
        <v>75</v>
      </c>
      <c r="C15" s="12">
        <v>1039</v>
      </c>
      <c r="D15" s="8">
        <v>11.42</v>
      </c>
      <c r="E15" s="12">
        <v>745</v>
      </c>
      <c r="F15" s="8">
        <v>22.76</v>
      </c>
      <c r="G15" s="12">
        <v>294</v>
      </c>
      <c r="H15" s="8">
        <v>5.0599999999999996</v>
      </c>
      <c r="I15" s="12">
        <v>0</v>
      </c>
    </row>
    <row r="16" spans="2:9" ht="15" customHeight="1" x14ac:dyDescent="0.2">
      <c r="B16" t="s">
        <v>76</v>
      </c>
      <c r="C16" s="12">
        <v>614</v>
      </c>
      <c r="D16" s="8">
        <v>6.75</v>
      </c>
      <c r="E16" s="12">
        <v>398</v>
      </c>
      <c r="F16" s="8">
        <v>12.16</v>
      </c>
      <c r="G16" s="12">
        <v>215</v>
      </c>
      <c r="H16" s="8">
        <v>3.7</v>
      </c>
      <c r="I16" s="12">
        <v>1</v>
      </c>
    </row>
    <row r="17" spans="2:9" ht="15" customHeight="1" x14ac:dyDescent="0.2">
      <c r="B17" t="s">
        <v>77</v>
      </c>
      <c r="C17" s="12">
        <v>199</v>
      </c>
      <c r="D17" s="8">
        <v>2.19</v>
      </c>
      <c r="E17" s="12">
        <v>104</v>
      </c>
      <c r="F17" s="8">
        <v>3.18</v>
      </c>
      <c r="G17" s="12">
        <v>91</v>
      </c>
      <c r="H17" s="8">
        <v>1.57</v>
      </c>
      <c r="I17" s="12">
        <v>1</v>
      </c>
    </row>
    <row r="18" spans="2:9" ht="15" customHeight="1" x14ac:dyDescent="0.2">
      <c r="B18" t="s">
        <v>78</v>
      </c>
      <c r="C18" s="12">
        <v>348</v>
      </c>
      <c r="D18" s="8">
        <v>3.82</v>
      </c>
      <c r="E18" s="12">
        <v>233</v>
      </c>
      <c r="F18" s="8">
        <v>7.12</v>
      </c>
      <c r="G18" s="12">
        <v>113</v>
      </c>
      <c r="H18" s="8">
        <v>1.94</v>
      </c>
      <c r="I18" s="12">
        <v>1</v>
      </c>
    </row>
    <row r="19" spans="2:9" ht="15" customHeight="1" x14ac:dyDescent="0.2">
      <c r="B19" t="s">
        <v>79</v>
      </c>
      <c r="C19" s="12">
        <v>241</v>
      </c>
      <c r="D19" s="8">
        <v>2.65</v>
      </c>
      <c r="E19" s="12">
        <v>48</v>
      </c>
      <c r="F19" s="8">
        <v>1.47</v>
      </c>
      <c r="G19" s="12">
        <v>192</v>
      </c>
      <c r="H19" s="8">
        <v>3.3</v>
      </c>
      <c r="I19" s="12">
        <v>1</v>
      </c>
    </row>
    <row r="20" spans="2:9" ht="15" customHeight="1" x14ac:dyDescent="0.2">
      <c r="B20" s="9" t="s">
        <v>280</v>
      </c>
      <c r="C20" s="12">
        <f>SUM(LTBL_13107[総数／事業所数])</f>
        <v>9100</v>
      </c>
      <c r="E20" s="12">
        <f>SUBTOTAL(109,LTBL_13107[個人／事業所数])</f>
        <v>3273</v>
      </c>
      <c r="G20" s="12">
        <f>SUBTOTAL(109,LTBL_13107[法人／事業所数])</f>
        <v>5814</v>
      </c>
      <c r="I20" s="12">
        <f>SUBTOTAL(109,LTBL_13107[法人以外の団体／事業所数])</f>
        <v>8</v>
      </c>
    </row>
    <row r="21" spans="2:9" ht="15" customHeight="1" x14ac:dyDescent="0.2">
      <c r="E21" s="11">
        <f>LTBL_13107[[#Totals],[個人／事業所数]]/LTBL_13107[[#Totals],[総数／事業所数]]</f>
        <v>0.35967032967032969</v>
      </c>
      <c r="G21" s="11">
        <f>LTBL_13107[[#Totals],[法人／事業所数]]/LTBL_13107[[#Totals],[総数／事業所数]]</f>
        <v>0.63890109890109892</v>
      </c>
      <c r="I21" s="11">
        <f>LTBL_13107[[#Totals],[法人以外の団体／事業所数]]/LTBL_13107[[#Totals],[総数／事業所数]]</f>
        <v>8.7912087912087912E-4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975</v>
      </c>
      <c r="D24" s="8">
        <v>10.71</v>
      </c>
      <c r="E24" s="12">
        <v>731</v>
      </c>
      <c r="F24" s="8">
        <v>22.33</v>
      </c>
      <c r="G24" s="12">
        <v>244</v>
      </c>
      <c r="H24" s="8">
        <v>4.2</v>
      </c>
      <c r="I24" s="12">
        <v>0</v>
      </c>
    </row>
    <row r="25" spans="2:9" ht="15" customHeight="1" x14ac:dyDescent="0.2">
      <c r="B25" t="s">
        <v>100</v>
      </c>
      <c r="C25" s="12">
        <v>859</v>
      </c>
      <c r="D25" s="8">
        <v>9.44</v>
      </c>
      <c r="E25" s="12">
        <v>260</v>
      </c>
      <c r="F25" s="8">
        <v>7.94</v>
      </c>
      <c r="G25" s="12">
        <v>596</v>
      </c>
      <c r="H25" s="8">
        <v>10.25</v>
      </c>
      <c r="I25" s="12">
        <v>3</v>
      </c>
    </row>
    <row r="26" spans="2:9" ht="15" customHeight="1" x14ac:dyDescent="0.2">
      <c r="B26" t="s">
        <v>104</v>
      </c>
      <c r="C26" s="12">
        <v>488</v>
      </c>
      <c r="D26" s="8">
        <v>5.36</v>
      </c>
      <c r="E26" s="12">
        <v>365</v>
      </c>
      <c r="F26" s="8">
        <v>11.15</v>
      </c>
      <c r="G26" s="12">
        <v>123</v>
      </c>
      <c r="H26" s="8">
        <v>2.12</v>
      </c>
      <c r="I26" s="12">
        <v>0</v>
      </c>
    </row>
    <row r="27" spans="2:9" ht="15" customHeight="1" x14ac:dyDescent="0.2">
      <c r="B27" t="s">
        <v>98</v>
      </c>
      <c r="C27" s="12">
        <v>395</v>
      </c>
      <c r="D27" s="8">
        <v>4.34</v>
      </c>
      <c r="E27" s="12">
        <v>158</v>
      </c>
      <c r="F27" s="8">
        <v>4.83</v>
      </c>
      <c r="G27" s="12">
        <v>237</v>
      </c>
      <c r="H27" s="8">
        <v>4.08</v>
      </c>
      <c r="I27" s="12">
        <v>0</v>
      </c>
    </row>
    <row r="28" spans="2:9" ht="15" customHeight="1" x14ac:dyDescent="0.2">
      <c r="B28" t="s">
        <v>119</v>
      </c>
      <c r="C28" s="12">
        <v>393</v>
      </c>
      <c r="D28" s="8">
        <v>4.32</v>
      </c>
      <c r="E28" s="12">
        <v>131</v>
      </c>
      <c r="F28" s="8">
        <v>4</v>
      </c>
      <c r="G28" s="12">
        <v>262</v>
      </c>
      <c r="H28" s="8">
        <v>4.51</v>
      </c>
      <c r="I28" s="12">
        <v>0</v>
      </c>
    </row>
    <row r="29" spans="2:9" ht="15" customHeight="1" x14ac:dyDescent="0.2">
      <c r="B29" t="s">
        <v>101</v>
      </c>
      <c r="C29" s="12">
        <v>318</v>
      </c>
      <c r="D29" s="8">
        <v>3.49</v>
      </c>
      <c r="E29" s="12">
        <v>182</v>
      </c>
      <c r="F29" s="8">
        <v>5.56</v>
      </c>
      <c r="G29" s="12">
        <v>136</v>
      </c>
      <c r="H29" s="8">
        <v>2.34</v>
      </c>
      <c r="I29" s="12">
        <v>0</v>
      </c>
    </row>
    <row r="30" spans="2:9" ht="15" customHeight="1" x14ac:dyDescent="0.2">
      <c r="B30" t="s">
        <v>89</v>
      </c>
      <c r="C30" s="12">
        <v>299</v>
      </c>
      <c r="D30" s="8">
        <v>3.29</v>
      </c>
      <c r="E30" s="12">
        <v>56</v>
      </c>
      <c r="F30" s="8">
        <v>1.71</v>
      </c>
      <c r="G30" s="12">
        <v>243</v>
      </c>
      <c r="H30" s="8">
        <v>4.18</v>
      </c>
      <c r="I30" s="12">
        <v>0</v>
      </c>
    </row>
    <row r="31" spans="2:9" ht="15" customHeight="1" x14ac:dyDescent="0.2">
      <c r="B31" t="s">
        <v>96</v>
      </c>
      <c r="C31" s="12">
        <v>298</v>
      </c>
      <c r="D31" s="8">
        <v>3.27</v>
      </c>
      <c r="E31" s="12">
        <v>165</v>
      </c>
      <c r="F31" s="8">
        <v>5.04</v>
      </c>
      <c r="G31" s="12">
        <v>133</v>
      </c>
      <c r="H31" s="8">
        <v>2.29</v>
      </c>
      <c r="I31" s="12">
        <v>0</v>
      </c>
    </row>
    <row r="32" spans="2:9" ht="15" customHeight="1" x14ac:dyDescent="0.2">
      <c r="B32" t="s">
        <v>94</v>
      </c>
      <c r="C32" s="12">
        <v>284</v>
      </c>
      <c r="D32" s="8">
        <v>3.12</v>
      </c>
      <c r="E32" s="12">
        <v>20</v>
      </c>
      <c r="F32" s="8">
        <v>0.61</v>
      </c>
      <c r="G32" s="12">
        <v>264</v>
      </c>
      <c r="H32" s="8">
        <v>4.54</v>
      </c>
      <c r="I32" s="12">
        <v>0</v>
      </c>
    </row>
    <row r="33" spans="2:9" ht="15" customHeight="1" x14ac:dyDescent="0.2">
      <c r="B33" t="s">
        <v>106</v>
      </c>
      <c r="C33" s="12">
        <v>284</v>
      </c>
      <c r="D33" s="8">
        <v>3.12</v>
      </c>
      <c r="E33" s="12">
        <v>232</v>
      </c>
      <c r="F33" s="8">
        <v>7.09</v>
      </c>
      <c r="G33" s="12">
        <v>51</v>
      </c>
      <c r="H33" s="8">
        <v>0.88</v>
      </c>
      <c r="I33" s="12">
        <v>1</v>
      </c>
    </row>
    <row r="34" spans="2:9" ht="15" customHeight="1" x14ac:dyDescent="0.2">
      <c r="B34" t="s">
        <v>108</v>
      </c>
      <c r="C34" s="12">
        <v>277</v>
      </c>
      <c r="D34" s="8">
        <v>3.04</v>
      </c>
      <c r="E34" s="12">
        <v>48</v>
      </c>
      <c r="F34" s="8">
        <v>1.47</v>
      </c>
      <c r="G34" s="12">
        <v>229</v>
      </c>
      <c r="H34" s="8">
        <v>3.94</v>
      </c>
      <c r="I34" s="12">
        <v>0</v>
      </c>
    </row>
    <row r="35" spans="2:9" ht="15" customHeight="1" x14ac:dyDescent="0.2">
      <c r="B35" t="s">
        <v>118</v>
      </c>
      <c r="C35" s="12">
        <v>250</v>
      </c>
      <c r="D35" s="8">
        <v>2.75</v>
      </c>
      <c r="E35" s="12">
        <v>84</v>
      </c>
      <c r="F35" s="8">
        <v>2.57</v>
      </c>
      <c r="G35" s="12">
        <v>166</v>
      </c>
      <c r="H35" s="8">
        <v>2.86</v>
      </c>
      <c r="I35" s="12">
        <v>0</v>
      </c>
    </row>
    <row r="36" spans="2:9" ht="15" customHeight="1" x14ac:dyDescent="0.2">
      <c r="B36" t="s">
        <v>110</v>
      </c>
      <c r="C36" s="12">
        <v>238</v>
      </c>
      <c r="D36" s="8">
        <v>2.62</v>
      </c>
      <c r="E36" s="12">
        <v>19</v>
      </c>
      <c r="F36" s="8">
        <v>0.57999999999999996</v>
      </c>
      <c r="G36" s="12">
        <v>219</v>
      </c>
      <c r="H36" s="8">
        <v>3.77</v>
      </c>
      <c r="I36" s="12">
        <v>0</v>
      </c>
    </row>
    <row r="37" spans="2:9" ht="15" customHeight="1" x14ac:dyDescent="0.2">
      <c r="B37" t="s">
        <v>90</v>
      </c>
      <c r="C37" s="12">
        <v>233</v>
      </c>
      <c r="D37" s="8">
        <v>2.56</v>
      </c>
      <c r="E37" s="12">
        <v>25</v>
      </c>
      <c r="F37" s="8">
        <v>0.76</v>
      </c>
      <c r="G37" s="12">
        <v>208</v>
      </c>
      <c r="H37" s="8">
        <v>3.58</v>
      </c>
      <c r="I37" s="12">
        <v>0</v>
      </c>
    </row>
    <row r="38" spans="2:9" ht="15" customHeight="1" x14ac:dyDescent="0.2">
      <c r="B38" t="s">
        <v>88</v>
      </c>
      <c r="C38" s="12">
        <v>207</v>
      </c>
      <c r="D38" s="8">
        <v>2.27</v>
      </c>
      <c r="E38" s="12">
        <v>26</v>
      </c>
      <c r="F38" s="8">
        <v>0.79</v>
      </c>
      <c r="G38" s="12">
        <v>181</v>
      </c>
      <c r="H38" s="8">
        <v>3.11</v>
      </c>
      <c r="I38" s="12">
        <v>0</v>
      </c>
    </row>
    <row r="39" spans="2:9" ht="15" customHeight="1" x14ac:dyDescent="0.2">
      <c r="B39" t="s">
        <v>95</v>
      </c>
      <c r="C39" s="12">
        <v>202</v>
      </c>
      <c r="D39" s="8">
        <v>2.2200000000000002</v>
      </c>
      <c r="E39" s="12">
        <v>60</v>
      </c>
      <c r="F39" s="8">
        <v>1.83</v>
      </c>
      <c r="G39" s="12">
        <v>142</v>
      </c>
      <c r="H39" s="8">
        <v>2.44</v>
      </c>
      <c r="I39" s="12">
        <v>0</v>
      </c>
    </row>
    <row r="40" spans="2:9" ht="15" customHeight="1" x14ac:dyDescent="0.2">
      <c r="B40" t="s">
        <v>105</v>
      </c>
      <c r="C40" s="12">
        <v>199</v>
      </c>
      <c r="D40" s="8">
        <v>2.19</v>
      </c>
      <c r="E40" s="12">
        <v>104</v>
      </c>
      <c r="F40" s="8">
        <v>3.18</v>
      </c>
      <c r="G40" s="12">
        <v>91</v>
      </c>
      <c r="H40" s="8">
        <v>1.57</v>
      </c>
      <c r="I40" s="12">
        <v>1</v>
      </c>
    </row>
    <row r="41" spans="2:9" ht="15" customHeight="1" x14ac:dyDescent="0.2">
      <c r="B41" t="s">
        <v>93</v>
      </c>
      <c r="C41" s="12">
        <v>186</v>
      </c>
      <c r="D41" s="8">
        <v>2.04</v>
      </c>
      <c r="E41" s="12">
        <v>15</v>
      </c>
      <c r="F41" s="8">
        <v>0.46</v>
      </c>
      <c r="G41" s="12">
        <v>171</v>
      </c>
      <c r="H41" s="8">
        <v>2.94</v>
      </c>
      <c r="I41" s="12">
        <v>0</v>
      </c>
    </row>
    <row r="42" spans="2:9" ht="15" customHeight="1" x14ac:dyDescent="0.2">
      <c r="B42" t="s">
        <v>117</v>
      </c>
      <c r="C42" s="12">
        <v>168</v>
      </c>
      <c r="D42" s="8">
        <v>1.85</v>
      </c>
      <c r="E42" s="12">
        <v>48</v>
      </c>
      <c r="F42" s="8">
        <v>1.47</v>
      </c>
      <c r="G42" s="12">
        <v>120</v>
      </c>
      <c r="H42" s="8">
        <v>2.06</v>
      </c>
      <c r="I42" s="12">
        <v>0</v>
      </c>
    </row>
    <row r="43" spans="2:9" ht="15" customHeight="1" x14ac:dyDescent="0.2">
      <c r="B43" t="s">
        <v>116</v>
      </c>
      <c r="C43" s="12">
        <v>163</v>
      </c>
      <c r="D43" s="8">
        <v>1.79</v>
      </c>
      <c r="E43" s="12">
        <v>61</v>
      </c>
      <c r="F43" s="8">
        <v>1.86</v>
      </c>
      <c r="G43" s="12">
        <v>102</v>
      </c>
      <c r="H43" s="8">
        <v>1.75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474</v>
      </c>
      <c r="D47" s="8">
        <v>5.21</v>
      </c>
      <c r="E47" s="12">
        <v>164</v>
      </c>
      <c r="F47" s="8">
        <v>5.01</v>
      </c>
      <c r="G47" s="12">
        <v>308</v>
      </c>
      <c r="H47" s="8">
        <v>5.3</v>
      </c>
      <c r="I47" s="12">
        <v>2</v>
      </c>
    </row>
    <row r="48" spans="2:9" ht="15" customHeight="1" x14ac:dyDescent="0.2">
      <c r="B48" t="s">
        <v>168</v>
      </c>
      <c r="C48" s="12">
        <v>294</v>
      </c>
      <c r="D48" s="8">
        <v>3.23</v>
      </c>
      <c r="E48" s="12">
        <v>203</v>
      </c>
      <c r="F48" s="8">
        <v>6.2</v>
      </c>
      <c r="G48" s="12">
        <v>91</v>
      </c>
      <c r="H48" s="8">
        <v>1.57</v>
      </c>
      <c r="I48" s="12">
        <v>0</v>
      </c>
    </row>
    <row r="49" spans="2:9" ht="15" customHeight="1" x14ac:dyDescent="0.2">
      <c r="B49" t="s">
        <v>169</v>
      </c>
      <c r="C49" s="12">
        <v>257</v>
      </c>
      <c r="D49" s="8">
        <v>2.82</v>
      </c>
      <c r="E49" s="12">
        <v>209</v>
      </c>
      <c r="F49" s="8">
        <v>6.39</v>
      </c>
      <c r="G49" s="12">
        <v>48</v>
      </c>
      <c r="H49" s="8">
        <v>0.83</v>
      </c>
      <c r="I49" s="12">
        <v>0</v>
      </c>
    </row>
    <row r="50" spans="2:9" ht="15" customHeight="1" x14ac:dyDescent="0.2">
      <c r="B50" t="s">
        <v>172</v>
      </c>
      <c r="C50" s="12">
        <v>198</v>
      </c>
      <c r="D50" s="8">
        <v>2.1800000000000002</v>
      </c>
      <c r="E50" s="12">
        <v>146</v>
      </c>
      <c r="F50" s="8">
        <v>4.46</v>
      </c>
      <c r="G50" s="12">
        <v>52</v>
      </c>
      <c r="H50" s="8">
        <v>0.89</v>
      </c>
      <c r="I50" s="12">
        <v>0</v>
      </c>
    </row>
    <row r="51" spans="2:9" ht="15" customHeight="1" x14ac:dyDescent="0.2">
      <c r="B51" t="s">
        <v>178</v>
      </c>
      <c r="C51" s="12">
        <v>189</v>
      </c>
      <c r="D51" s="8">
        <v>2.08</v>
      </c>
      <c r="E51" s="12">
        <v>33</v>
      </c>
      <c r="F51" s="8">
        <v>1.01</v>
      </c>
      <c r="G51" s="12">
        <v>156</v>
      </c>
      <c r="H51" s="8">
        <v>2.68</v>
      </c>
      <c r="I51" s="12">
        <v>0</v>
      </c>
    </row>
    <row r="52" spans="2:9" ht="15" customHeight="1" x14ac:dyDescent="0.2">
      <c r="B52" t="s">
        <v>177</v>
      </c>
      <c r="C52" s="12">
        <v>177</v>
      </c>
      <c r="D52" s="8">
        <v>1.95</v>
      </c>
      <c r="E52" s="12">
        <v>10</v>
      </c>
      <c r="F52" s="8">
        <v>0.31</v>
      </c>
      <c r="G52" s="12">
        <v>167</v>
      </c>
      <c r="H52" s="8">
        <v>2.87</v>
      </c>
      <c r="I52" s="12">
        <v>0</v>
      </c>
    </row>
    <row r="53" spans="2:9" ht="15" customHeight="1" x14ac:dyDescent="0.2">
      <c r="B53" t="s">
        <v>175</v>
      </c>
      <c r="C53" s="12">
        <v>169</v>
      </c>
      <c r="D53" s="8">
        <v>1.86</v>
      </c>
      <c r="E53" s="12">
        <v>133</v>
      </c>
      <c r="F53" s="8">
        <v>4.0599999999999996</v>
      </c>
      <c r="G53" s="12">
        <v>36</v>
      </c>
      <c r="H53" s="8">
        <v>0.62</v>
      </c>
      <c r="I53" s="12">
        <v>0</v>
      </c>
    </row>
    <row r="54" spans="2:9" ht="15" customHeight="1" x14ac:dyDescent="0.2">
      <c r="B54" t="s">
        <v>161</v>
      </c>
      <c r="C54" s="12">
        <v>156</v>
      </c>
      <c r="D54" s="8">
        <v>1.71</v>
      </c>
      <c r="E54" s="12">
        <v>46</v>
      </c>
      <c r="F54" s="8">
        <v>1.41</v>
      </c>
      <c r="G54" s="12">
        <v>110</v>
      </c>
      <c r="H54" s="8">
        <v>1.89</v>
      </c>
      <c r="I54" s="12">
        <v>0</v>
      </c>
    </row>
    <row r="55" spans="2:9" ht="15" customHeight="1" x14ac:dyDescent="0.2">
      <c r="B55" t="s">
        <v>193</v>
      </c>
      <c r="C55" s="12">
        <v>153</v>
      </c>
      <c r="D55" s="8">
        <v>1.68</v>
      </c>
      <c r="E55" s="12">
        <v>51</v>
      </c>
      <c r="F55" s="8">
        <v>1.56</v>
      </c>
      <c r="G55" s="12">
        <v>102</v>
      </c>
      <c r="H55" s="8">
        <v>1.75</v>
      </c>
      <c r="I55" s="12">
        <v>0</v>
      </c>
    </row>
    <row r="56" spans="2:9" ht="15" customHeight="1" x14ac:dyDescent="0.2">
      <c r="B56" t="s">
        <v>163</v>
      </c>
      <c r="C56" s="12">
        <v>152</v>
      </c>
      <c r="D56" s="8">
        <v>1.67</v>
      </c>
      <c r="E56" s="12">
        <v>8</v>
      </c>
      <c r="F56" s="8">
        <v>0.24</v>
      </c>
      <c r="G56" s="12">
        <v>143</v>
      </c>
      <c r="H56" s="8">
        <v>2.46</v>
      </c>
      <c r="I56" s="12">
        <v>1</v>
      </c>
    </row>
    <row r="57" spans="2:9" ht="15" customHeight="1" x14ac:dyDescent="0.2">
      <c r="B57" t="s">
        <v>171</v>
      </c>
      <c r="C57" s="12">
        <v>139</v>
      </c>
      <c r="D57" s="8">
        <v>1.53</v>
      </c>
      <c r="E57" s="12">
        <v>131</v>
      </c>
      <c r="F57" s="8">
        <v>4</v>
      </c>
      <c r="G57" s="12">
        <v>8</v>
      </c>
      <c r="H57" s="8">
        <v>0.14000000000000001</v>
      </c>
      <c r="I57" s="12">
        <v>0</v>
      </c>
    </row>
    <row r="58" spans="2:9" ht="15" customHeight="1" x14ac:dyDescent="0.2">
      <c r="B58" t="s">
        <v>159</v>
      </c>
      <c r="C58" s="12">
        <v>137</v>
      </c>
      <c r="D58" s="8">
        <v>1.51</v>
      </c>
      <c r="E58" s="12">
        <v>78</v>
      </c>
      <c r="F58" s="8">
        <v>2.38</v>
      </c>
      <c r="G58" s="12">
        <v>59</v>
      </c>
      <c r="H58" s="8">
        <v>1.01</v>
      </c>
      <c r="I58" s="12">
        <v>0</v>
      </c>
    </row>
    <row r="59" spans="2:9" ht="15" customHeight="1" x14ac:dyDescent="0.2">
      <c r="B59" t="s">
        <v>170</v>
      </c>
      <c r="C59" s="12">
        <v>128</v>
      </c>
      <c r="D59" s="8">
        <v>1.41</v>
      </c>
      <c r="E59" s="12">
        <v>105</v>
      </c>
      <c r="F59" s="8">
        <v>3.21</v>
      </c>
      <c r="G59" s="12">
        <v>23</v>
      </c>
      <c r="H59" s="8">
        <v>0.4</v>
      </c>
      <c r="I59" s="12">
        <v>0</v>
      </c>
    </row>
    <row r="60" spans="2:9" ht="15" customHeight="1" x14ac:dyDescent="0.2">
      <c r="B60" t="s">
        <v>160</v>
      </c>
      <c r="C60" s="12">
        <v>123</v>
      </c>
      <c r="D60" s="8">
        <v>1.35</v>
      </c>
      <c r="E60" s="12">
        <v>16</v>
      </c>
      <c r="F60" s="8">
        <v>0.49</v>
      </c>
      <c r="G60" s="12">
        <v>107</v>
      </c>
      <c r="H60" s="8">
        <v>1.84</v>
      </c>
      <c r="I60" s="12">
        <v>0</v>
      </c>
    </row>
    <row r="61" spans="2:9" ht="15" customHeight="1" x14ac:dyDescent="0.2">
      <c r="B61" t="s">
        <v>158</v>
      </c>
      <c r="C61" s="12">
        <v>119</v>
      </c>
      <c r="D61" s="8">
        <v>1.31</v>
      </c>
      <c r="E61" s="12">
        <v>67</v>
      </c>
      <c r="F61" s="8">
        <v>2.0499999999999998</v>
      </c>
      <c r="G61" s="12">
        <v>52</v>
      </c>
      <c r="H61" s="8">
        <v>0.89</v>
      </c>
      <c r="I61" s="12">
        <v>0</v>
      </c>
    </row>
    <row r="62" spans="2:9" ht="15" customHeight="1" x14ac:dyDescent="0.2">
      <c r="B62" t="s">
        <v>173</v>
      </c>
      <c r="C62" s="12">
        <v>116</v>
      </c>
      <c r="D62" s="8">
        <v>1.27</v>
      </c>
      <c r="E62" s="12">
        <v>67</v>
      </c>
      <c r="F62" s="8">
        <v>2.0499999999999998</v>
      </c>
      <c r="G62" s="12">
        <v>48</v>
      </c>
      <c r="H62" s="8">
        <v>0.83</v>
      </c>
      <c r="I62" s="12">
        <v>1</v>
      </c>
    </row>
    <row r="63" spans="2:9" ht="15" customHeight="1" x14ac:dyDescent="0.2">
      <c r="B63" t="s">
        <v>191</v>
      </c>
      <c r="C63" s="12">
        <v>113</v>
      </c>
      <c r="D63" s="8">
        <v>1.24</v>
      </c>
      <c r="E63" s="12">
        <v>89</v>
      </c>
      <c r="F63" s="8">
        <v>2.72</v>
      </c>
      <c r="G63" s="12">
        <v>24</v>
      </c>
      <c r="H63" s="8">
        <v>0.41</v>
      </c>
      <c r="I63" s="12">
        <v>0</v>
      </c>
    </row>
    <row r="64" spans="2:9" ht="15" customHeight="1" x14ac:dyDescent="0.2">
      <c r="B64" t="s">
        <v>192</v>
      </c>
      <c r="C64" s="12">
        <v>108</v>
      </c>
      <c r="D64" s="8">
        <v>1.19</v>
      </c>
      <c r="E64" s="12">
        <v>16</v>
      </c>
      <c r="F64" s="8">
        <v>0.49</v>
      </c>
      <c r="G64" s="12">
        <v>92</v>
      </c>
      <c r="H64" s="8">
        <v>1.58</v>
      </c>
      <c r="I64" s="12">
        <v>0</v>
      </c>
    </row>
    <row r="65" spans="2:9" ht="15" customHeight="1" x14ac:dyDescent="0.2">
      <c r="B65" t="s">
        <v>174</v>
      </c>
      <c r="C65" s="12">
        <v>101</v>
      </c>
      <c r="D65" s="8">
        <v>1.1100000000000001</v>
      </c>
      <c r="E65" s="12">
        <v>95</v>
      </c>
      <c r="F65" s="8">
        <v>2.9</v>
      </c>
      <c r="G65" s="12">
        <v>5</v>
      </c>
      <c r="H65" s="8">
        <v>0.09</v>
      </c>
      <c r="I65" s="12">
        <v>1</v>
      </c>
    </row>
    <row r="66" spans="2:9" ht="15" customHeight="1" x14ac:dyDescent="0.2">
      <c r="B66" t="s">
        <v>194</v>
      </c>
      <c r="C66" s="12">
        <v>100</v>
      </c>
      <c r="D66" s="8">
        <v>1.1000000000000001</v>
      </c>
      <c r="E66" s="12">
        <v>9</v>
      </c>
      <c r="F66" s="8">
        <v>0.27</v>
      </c>
      <c r="G66" s="12">
        <v>91</v>
      </c>
      <c r="H66" s="8">
        <v>1.57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CFA8-64BA-4636-B8BE-3FAF8BC6344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941</v>
      </c>
      <c r="D6" s="8">
        <v>9.6999999999999993</v>
      </c>
      <c r="E6" s="12">
        <v>99</v>
      </c>
      <c r="F6" s="8">
        <v>3.46</v>
      </c>
      <c r="G6" s="12">
        <v>842</v>
      </c>
      <c r="H6" s="8">
        <v>12.32</v>
      </c>
      <c r="I6" s="12">
        <v>0</v>
      </c>
    </row>
    <row r="7" spans="2:9" ht="15" customHeight="1" x14ac:dyDescent="0.2">
      <c r="B7" t="s">
        <v>67</v>
      </c>
      <c r="C7" s="12">
        <v>1362</v>
      </c>
      <c r="D7" s="8">
        <v>14.03</v>
      </c>
      <c r="E7" s="12">
        <v>305</v>
      </c>
      <c r="F7" s="8">
        <v>10.67</v>
      </c>
      <c r="G7" s="12">
        <v>1057</v>
      </c>
      <c r="H7" s="8">
        <v>15.47</v>
      </c>
      <c r="I7" s="12">
        <v>0</v>
      </c>
    </row>
    <row r="8" spans="2:9" ht="15" customHeight="1" x14ac:dyDescent="0.2">
      <c r="B8" t="s">
        <v>68</v>
      </c>
      <c r="C8" s="12">
        <v>5</v>
      </c>
      <c r="D8" s="8">
        <v>0.05</v>
      </c>
      <c r="E8" s="12">
        <v>0</v>
      </c>
      <c r="F8" s="8">
        <v>0</v>
      </c>
      <c r="G8" s="12">
        <v>4</v>
      </c>
      <c r="H8" s="8">
        <v>0.06</v>
      </c>
      <c r="I8" s="12">
        <v>0</v>
      </c>
    </row>
    <row r="9" spans="2:9" ht="15" customHeight="1" x14ac:dyDescent="0.2">
      <c r="B9" t="s">
        <v>69</v>
      </c>
      <c r="C9" s="12">
        <v>291</v>
      </c>
      <c r="D9" s="8">
        <v>3</v>
      </c>
      <c r="E9" s="12">
        <v>3</v>
      </c>
      <c r="F9" s="8">
        <v>0.1</v>
      </c>
      <c r="G9" s="12">
        <v>288</v>
      </c>
      <c r="H9" s="8">
        <v>4.22</v>
      </c>
      <c r="I9" s="12">
        <v>0</v>
      </c>
    </row>
    <row r="10" spans="2:9" ht="15" customHeight="1" x14ac:dyDescent="0.2">
      <c r="B10" t="s">
        <v>70</v>
      </c>
      <c r="C10" s="12">
        <v>295</v>
      </c>
      <c r="D10" s="8">
        <v>3.04</v>
      </c>
      <c r="E10" s="12">
        <v>52</v>
      </c>
      <c r="F10" s="8">
        <v>1.82</v>
      </c>
      <c r="G10" s="12">
        <v>242</v>
      </c>
      <c r="H10" s="8">
        <v>3.54</v>
      </c>
      <c r="I10" s="12">
        <v>0</v>
      </c>
    </row>
    <row r="11" spans="2:9" ht="15" customHeight="1" x14ac:dyDescent="0.2">
      <c r="B11" t="s">
        <v>71</v>
      </c>
      <c r="C11" s="12">
        <v>2281</v>
      </c>
      <c r="D11" s="8">
        <v>23.5</v>
      </c>
      <c r="E11" s="12">
        <v>549</v>
      </c>
      <c r="F11" s="8">
        <v>19.21</v>
      </c>
      <c r="G11" s="12">
        <v>1731</v>
      </c>
      <c r="H11" s="8">
        <v>25.34</v>
      </c>
      <c r="I11" s="12">
        <v>1</v>
      </c>
    </row>
    <row r="12" spans="2:9" ht="15" customHeight="1" x14ac:dyDescent="0.2">
      <c r="B12" t="s">
        <v>72</v>
      </c>
      <c r="C12" s="12">
        <v>38</v>
      </c>
      <c r="D12" s="8">
        <v>0.39</v>
      </c>
      <c r="E12" s="12">
        <v>0</v>
      </c>
      <c r="F12" s="8">
        <v>0</v>
      </c>
      <c r="G12" s="12">
        <v>38</v>
      </c>
      <c r="H12" s="8">
        <v>0.56000000000000005</v>
      </c>
      <c r="I12" s="12">
        <v>0</v>
      </c>
    </row>
    <row r="13" spans="2:9" ht="15" customHeight="1" x14ac:dyDescent="0.2">
      <c r="B13" t="s">
        <v>73</v>
      </c>
      <c r="C13" s="12">
        <v>1024</v>
      </c>
      <c r="D13" s="8">
        <v>10.55</v>
      </c>
      <c r="E13" s="12">
        <v>140</v>
      </c>
      <c r="F13" s="8">
        <v>4.9000000000000004</v>
      </c>
      <c r="G13" s="12">
        <v>884</v>
      </c>
      <c r="H13" s="8">
        <v>12.94</v>
      </c>
      <c r="I13" s="12">
        <v>0</v>
      </c>
    </row>
    <row r="14" spans="2:9" ht="15" customHeight="1" x14ac:dyDescent="0.2">
      <c r="B14" t="s">
        <v>74</v>
      </c>
      <c r="C14" s="12">
        <v>604</v>
      </c>
      <c r="D14" s="8">
        <v>6.22</v>
      </c>
      <c r="E14" s="12">
        <v>179</v>
      </c>
      <c r="F14" s="8">
        <v>6.26</v>
      </c>
      <c r="G14" s="12">
        <v>421</v>
      </c>
      <c r="H14" s="8">
        <v>6.16</v>
      </c>
      <c r="I14" s="12">
        <v>0</v>
      </c>
    </row>
    <row r="15" spans="2:9" ht="15" customHeight="1" x14ac:dyDescent="0.2">
      <c r="B15" t="s">
        <v>75</v>
      </c>
      <c r="C15" s="12">
        <v>1083</v>
      </c>
      <c r="D15" s="8">
        <v>11.16</v>
      </c>
      <c r="E15" s="12">
        <v>692</v>
      </c>
      <c r="F15" s="8">
        <v>24.21</v>
      </c>
      <c r="G15" s="12">
        <v>391</v>
      </c>
      <c r="H15" s="8">
        <v>5.72</v>
      </c>
      <c r="I15" s="12">
        <v>0</v>
      </c>
    </row>
    <row r="16" spans="2:9" ht="15" customHeight="1" x14ac:dyDescent="0.2">
      <c r="B16" t="s">
        <v>76</v>
      </c>
      <c r="C16" s="12">
        <v>802</v>
      </c>
      <c r="D16" s="8">
        <v>8.26</v>
      </c>
      <c r="E16" s="12">
        <v>484</v>
      </c>
      <c r="F16" s="8">
        <v>16.93</v>
      </c>
      <c r="G16" s="12">
        <v>318</v>
      </c>
      <c r="H16" s="8">
        <v>4.6500000000000004</v>
      </c>
      <c r="I16" s="12">
        <v>0</v>
      </c>
    </row>
    <row r="17" spans="2:9" ht="15" customHeight="1" x14ac:dyDescent="0.2">
      <c r="B17" t="s">
        <v>77</v>
      </c>
      <c r="C17" s="12">
        <v>174</v>
      </c>
      <c r="D17" s="8">
        <v>1.79</v>
      </c>
      <c r="E17" s="12">
        <v>67</v>
      </c>
      <c r="F17" s="8">
        <v>2.34</v>
      </c>
      <c r="G17" s="12">
        <v>106</v>
      </c>
      <c r="H17" s="8">
        <v>1.55</v>
      </c>
      <c r="I17" s="12">
        <v>0</v>
      </c>
    </row>
    <row r="18" spans="2:9" ht="15" customHeight="1" x14ac:dyDescent="0.2">
      <c r="B18" t="s">
        <v>78</v>
      </c>
      <c r="C18" s="12">
        <v>398</v>
      </c>
      <c r="D18" s="8">
        <v>4.0999999999999996</v>
      </c>
      <c r="E18" s="12">
        <v>247</v>
      </c>
      <c r="F18" s="8">
        <v>8.64</v>
      </c>
      <c r="G18" s="12">
        <v>147</v>
      </c>
      <c r="H18" s="8">
        <v>2.15</v>
      </c>
      <c r="I18" s="12">
        <v>1</v>
      </c>
    </row>
    <row r="19" spans="2:9" ht="15" customHeight="1" x14ac:dyDescent="0.2">
      <c r="B19" t="s">
        <v>79</v>
      </c>
      <c r="C19" s="12">
        <v>408</v>
      </c>
      <c r="D19" s="8">
        <v>4.2</v>
      </c>
      <c r="E19" s="12">
        <v>41</v>
      </c>
      <c r="F19" s="8">
        <v>1.43</v>
      </c>
      <c r="G19" s="12">
        <v>363</v>
      </c>
      <c r="H19" s="8">
        <v>5.31</v>
      </c>
      <c r="I19" s="12">
        <v>4</v>
      </c>
    </row>
    <row r="20" spans="2:9" ht="15" customHeight="1" x14ac:dyDescent="0.2">
      <c r="B20" s="9" t="s">
        <v>280</v>
      </c>
      <c r="C20" s="12">
        <f>SUM(LTBL_13108[総数／事業所数])</f>
        <v>9706</v>
      </c>
      <c r="E20" s="12">
        <f>SUBTOTAL(109,LTBL_13108[個人／事業所数])</f>
        <v>2858</v>
      </c>
      <c r="G20" s="12">
        <f>SUBTOTAL(109,LTBL_13108[法人／事業所数])</f>
        <v>6832</v>
      </c>
      <c r="I20" s="12">
        <f>SUBTOTAL(109,LTBL_13108[法人以外の団体／事業所数])</f>
        <v>6</v>
      </c>
    </row>
    <row r="21" spans="2:9" ht="15" customHeight="1" x14ac:dyDescent="0.2">
      <c r="E21" s="11">
        <f>LTBL_13108[[#Totals],[個人／事業所数]]/LTBL_13108[[#Totals],[総数／事業所数]]</f>
        <v>0.29445703688440139</v>
      </c>
      <c r="G21" s="11">
        <f>LTBL_13108[[#Totals],[法人／事業所数]]/LTBL_13108[[#Totals],[総数／事業所数]]</f>
        <v>0.70389449824850603</v>
      </c>
      <c r="I21" s="11">
        <f>LTBL_13108[[#Totals],[法人以外の団体／事業所数]]/LTBL_13108[[#Totals],[総数／事業所数]]</f>
        <v>6.1817432515969505E-4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985</v>
      </c>
      <c r="D24" s="8">
        <v>10.15</v>
      </c>
      <c r="E24" s="12">
        <v>682</v>
      </c>
      <c r="F24" s="8">
        <v>23.86</v>
      </c>
      <c r="G24" s="12">
        <v>303</v>
      </c>
      <c r="H24" s="8">
        <v>4.4400000000000004</v>
      </c>
      <c r="I24" s="12">
        <v>0</v>
      </c>
    </row>
    <row r="25" spans="2:9" ht="15" customHeight="1" x14ac:dyDescent="0.2">
      <c r="B25" t="s">
        <v>100</v>
      </c>
      <c r="C25" s="12">
        <v>821</v>
      </c>
      <c r="D25" s="8">
        <v>8.4600000000000009</v>
      </c>
      <c r="E25" s="12">
        <v>131</v>
      </c>
      <c r="F25" s="8">
        <v>4.58</v>
      </c>
      <c r="G25" s="12">
        <v>690</v>
      </c>
      <c r="H25" s="8">
        <v>10.1</v>
      </c>
      <c r="I25" s="12">
        <v>0</v>
      </c>
    </row>
    <row r="26" spans="2:9" ht="15" customHeight="1" x14ac:dyDescent="0.2">
      <c r="B26" t="s">
        <v>104</v>
      </c>
      <c r="C26" s="12">
        <v>634</v>
      </c>
      <c r="D26" s="8">
        <v>6.53</v>
      </c>
      <c r="E26" s="12">
        <v>443</v>
      </c>
      <c r="F26" s="8">
        <v>15.5</v>
      </c>
      <c r="G26" s="12">
        <v>191</v>
      </c>
      <c r="H26" s="8">
        <v>2.8</v>
      </c>
      <c r="I26" s="12">
        <v>0</v>
      </c>
    </row>
    <row r="27" spans="2:9" ht="15" customHeight="1" x14ac:dyDescent="0.2">
      <c r="B27" t="s">
        <v>98</v>
      </c>
      <c r="C27" s="12">
        <v>466</v>
      </c>
      <c r="D27" s="8">
        <v>4.8</v>
      </c>
      <c r="E27" s="12">
        <v>163</v>
      </c>
      <c r="F27" s="8">
        <v>5.7</v>
      </c>
      <c r="G27" s="12">
        <v>303</v>
      </c>
      <c r="H27" s="8">
        <v>4.4400000000000004</v>
      </c>
      <c r="I27" s="12">
        <v>0</v>
      </c>
    </row>
    <row r="28" spans="2:9" ht="15" customHeight="1" x14ac:dyDescent="0.2">
      <c r="B28" t="s">
        <v>108</v>
      </c>
      <c r="C28" s="12">
        <v>395</v>
      </c>
      <c r="D28" s="8">
        <v>4.07</v>
      </c>
      <c r="E28" s="12">
        <v>72</v>
      </c>
      <c r="F28" s="8">
        <v>2.52</v>
      </c>
      <c r="G28" s="12">
        <v>323</v>
      </c>
      <c r="H28" s="8">
        <v>4.7300000000000004</v>
      </c>
      <c r="I28" s="12">
        <v>0</v>
      </c>
    </row>
    <row r="29" spans="2:9" ht="15" customHeight="1" x14ac:dyDescent="0.2">
      <c r="B29" t="s">
        <v>101</v>
      </c>
      <c r="C29" s="12">
        <v>384</v>
      </c>
      <c r="D29" s="8">
        <v>3.96</v>
      </c>
      <c r="E29" s="12">
        <v>139</v>
      </c>
      <c r="F29" s="8">
        <v>4.8600000000000003</v>
      </c>
      <c r="G29" s="12">
        <v>245</v>
      </c>
      <c r="H29" s="8">
        <v>3.59</v>
      </c>
      <c r="I29" s="12">
        <v>0</v>
      </c>
    </row>
    <row r="30" spans="2:9" ht="15" customHeight="1" x14ac:dyDescent="0.2">
      <c r="B30" t="s">
        <v>96</v>
      </c>
      <c r="C30" s="12">
        <v>378</v>
      </c>
      <c r="D30" s="8">
        <v>3.89</v>
      </c>
      <c r="E30" s="12">
        <v>204</v>
      </c>
      <c r="F30" s="8">
        <v>7.14</v>
      </c>
      <c r="G30" s="12">
        <v>174</v>
      </c>
      <c r="H30" s="8">
        <v>2.5499999999999998</v>
      </c>
      <c r="I30" s="12">
        <v>0</v>
      </c>
    </row>
    <row r="31" spans="2:9" ht="15" customHeight="1" x14ac:dyDescent="0.2">
      <c r="B31" t="s">
        <v>89</v>
      </c>
      <c r="C31" s="12">
        <v>366</v>
      </c>
      <c r="D31" s="8">
        <v>3.77</v>
      </c>
      <c r="E31" s="12">
        <v>61</v>
      </c>
      <c r="F31" s="8">
        <v>2.13</v>
      </c>
      <c r="G31" s="12">
        <v>305</v>
      </c>
      <c r="H31" s="8">
        <v>4.46</v>
      </c>
      <c r="I31" s="12">
        <v>0</v>
      </c>
    </row>
    <row r="32" spans="2:9" ht="15" customHeight="1" x14ac:dyDescent="0.2">
      <c r="B32" t="s">
        <v>106</v>
      </c>
      <c r="C32" s="12">
        <v>317</v>
      </c>
      <c r="D32" s="8">
        <v>3.27</v>
      </c>
      <c r="E32" s="12">
        <v>246</v>
      </c>
      <c r="F32" s="8">
        <v>8.61</v>
      </c>
      <c r="G32" s="12">
        <v>70</v>
      </c>
      <c r="H32" s="8">
        <v>1.02</v>
      </c>
      <c r="I32" s="12">
        <v>1</v>
      </c>
    </row>
    <row r="33" spans="2:9" ht="15" customHeight="1" x14ac:dyDescent="0.2">
      <c r="B33" t="s">
        <v>88</v>
      </c>
      <c r="C33" s="12">
        <v>310</v>
      </c>
      <c r="D33" s="8">
        <v>3.19</v>
      </c>
      <c r="E33" s="12">
        <v>18</v>
      </c>
      <c r="F33" s="8">
        <v>0.63</v>
      </c>
      <c r="G33" s="12">
        <v>292</v>
      </c>
      <c r="H33" s="8">
        <v>4.2699999999999996</v>
      </c>
      <c r="I33" s="12">
        <v>0</v>
      </c>
    </row>
    <row r="34" spans="2:9" ht="15" customHeight="1" x14ac:dyDescent="0.2">
      <c r="B34" t="s">
        <v>90</v>
      </c>
      <c r="C34" s="12">
        <v>265</v>
      </c>
      <c r="D34" s="8">
        <v>2.73</v>
      </c>
      <c r="E34" s="12">
        <v>20</v>
      </c>
      <c r="F34" s="8">
        <v>0.7</v>
      </c>
      <c r="G34" s="12">
        <v>245</v>
      </c>
      <c r="H34" s="8">
        <v>3.59</v>
      </c>
      <c r="I34" s="12">
        <v>0</v>
      </c>
    </row>
    <row r="35" spans="2:9" ht="15" customHeight="1" x14ac:dyDescent="0.2">
      <c r="B35" t="s">
        <v>109</v>
      </c>
      <c r="C35" s="12">
        <v>260</v>
      </c>
      <c r="D35" s="8">
        <v>2.68</v>
      </c>
      <c r="E35" s="12">
        <v>21</v>
      </c>
      <c r="F35" s="8">
        <v>0.73</v>
      </c>
      <c r="G35" s="12">
        <v>239</v>
      </c>
      <c r="H35" s="8">
        <v>3.5</v>
      </c>
      <c r="I35" s="12">
        <v>0</v>
      </c>
    </row>
    <row r="36" spans="2:9" ht="15" customHeight="1" x14ac:dyDescent="0.2">
      <c r="B36" t="s">
        <v>110</v>
      </c>
      <c r="C36" s="12">
        <v>259</v>
      </c>
      <c r="D36" s="8">
        <v>2.67</v>
      </c>
      <c r="E36" s="12">
        <v>27</v>
      </c>
      <c r="F36" s="8">
        <v>0.94</v>
      </c>
      <c r="G36" s="12">
        <v>231</v>
      </c>
      <c r="H36" s="8">
        <v>3.38</v>
      </c>
      <c r="I36" s="12">
        <v>1</v>
      </c>
    </row>
    <row r="37" spans="2:9" ht="15" customHeight="1" x14ac:dyDescent="0.2">
      <c r="B37" t="s">
        <v>107</v>
      </c>
      <c r="C37" s="12">
        <v>255</v>
      </c>
      <c r="D37" s="8">
        <v>2.63</v>
      </c>
      <c r="E37" s="12">
        <v>14</v>
      </c>
      <c r="F37" s="8">
        <v>0.49</v>
      </c>
      <c r="G37" s="12">
        <v>239</v>
      </c>
      <c r="H37" s="8">
        <v>3.5</v>
      </c>
      <c r="I37" s="12">
        <v>2</v>
      </c>
    </row>
    <row r="38" spans="2:9" ht="15" customHeight="1" x14ac:dyDescent="0.2">
      <c r="B38" t="s">
        <v>95</v>
      </c>
      <c r="C38" s="12">
        <v>252</v>
      </c>
      <c r="D38" s="8">
        <v>2.6</v>
      </c>
      <c r="E38" s="12">
        <v>63</v>
      </c>
      <c r="F38" s="8">
        <v>2.2000000000000002</v>
      </c>
      <c r="G38" s="12">
        <v>189</v>
      </c>
      <c r="H38" s="8">
        <v>2.77</v>
      </c>
      <c r="I38" s="12">
        <v>0</v>
      </c>
    </row>
    <row r="39" spans="2:9" ht="15" customHeight="1" x14ac:dyDescent="0.2">
      <c r="B39" t="s">
        <v>94</v>
      </c>
      <c r="C39" s="12">
        <v>194</v>
      </c>
      <c r="D39" s="8">
        <v>2</v>
      </c>
      <c r="E39" s="12">
        <v>13</v>
      </c>
      <c r="F39" s="8">
        <v>0.45</v>
      </c>
      <c r="G39" s="12">
        <v>181</v>
      </c>
      <c r="H39" s="8">
        <v>2.65</v>
      </c>
      <c r="I39" s="12">
        <v>0</v>
      </c>
    </row>
    <row r="40" spans="2:9" ht="15" customHeight="1" x14ac:dyDescent="0.2">
      <c r="B40" t="s">
        <v>102</v>
      </c>
      <c r="C40" s="12">
        <v>180</v>
      </c>
      <c r="D40" s="8">
        <v>1.85</v>
      </c>
      <c r="E40" s="12">
        <v>38</v>
      </c>
      <c r="F40" s="8">
        <v>1.33</v>
      </c>
      <c r="G40" s="12">
        <v>138</v>
      </c>
      <c r="H40" s="8">
        <v>2.02</v>
      </c>
      <c r="I40" s="12">
        <v>0</v>
      </c>
    </row>
    <row r="41" spans="2:9" ht="15" customHeight="1" x14ac:dyDescent="0.2">
      <c r="B41" t="s">
        <v>93</v>
      </c>
      <c r="C41" s="12">
        <v>178</v>
      </c>
      <c r="D41" s="8">
        <v>1.83</v>
      </c>
      <c r="E41" s="12">
        <v>7</v>
      </c>
      <c r="F41" s="8">
        <v>0.24</v>
      </c>
      <c r="G41" s="12">
        <v>171</v>
      </c>
      <c r="H41" s="8">
        <v>2.5</v>
      </c>
      <c r="I41" s="12">
        <v>0</v>
      </c>
    </row>
    <row r="42" spans="2:9" ht="15" customHeight="1" x14ac:dyDescent="0.2">
      <c r="B42" t="s">
        <v>105</v>
      </c>
      <c r="C42" s="12">
        <v>174</v>
      </c>
      <c r="D42" s="8">
        <v>1.79</v>
      </c>
      <c r="E42" s="12">
        <v>67</v>
      </c>
      <c r="F42" s="8">
        <v>2.34</v>
      </c>
      <c r="G42" s="12">
        <v>106</v>
      </c>
      <c r="H42" s="8">
        <v>1.55</v>
      </c>
      <c r="I42" s="12">
        <v>0</v>
      </c>
    </row>
    <row r="43" spans="2:9" ht="15" customHeight="1" x14ac:dyDescent="0.2">
      <c r="B43" t="s">
        <v>91</v>
      </c>
      <c r="C43" s="12">
        <v>162</v>
      </c>
      <c r="D43" s="8">
        <v>1.67</v>
      </c>
      <c r="E43" s="12">
        <v>0</v>
      </c>
      <c r="F43" s="8">
        <v>0</v>
      </c>
      <c r="G43" s="12">
        <v>162</v>
      </c>
      <c r="H43" s="8">
        <v>2.37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442</v>
      </c>
      <c r="D47" s="8">
        <v>4.55</v>
      </c>
      <c r="E47" s="12">
        <v>87</v>
      </c>
      <c r="F47" s="8">
        <v>3.04</v>
      </c>
      <c r="G47" s="12">
        <v>355</v>
      </c>
      <c r="H47" s="8">
        <v>5.2</v>
      </c>
      <c r="I47" s="12">
        <v>0</v>
      </c>
    </row>
    <row r="48" spans="2:9" ht="15" customHeight="1" x14ac:dyDescent="0.2">
      <c r="B48" t="s">
        <v>168</v>
      </c>
      <c r="C48" s="12">
        <v>309</v>
      </c>
      <c r="D48" s="8">
        <v>3.18</v>
      </c>
      <c r="E48" s="12">
        <v>190</v>
      </c>
      <c r="F48" s="8">
        <v>6.65</v>
      </c>
      <c r="G48" s="12">
        <v>119</v>
      </c>
      <c r="H48" s="8">
        <v>1.74</v>
      </c>
      <c r="I48" s="12">
        <v>0</v>
      </c>
    </row>
    <row r="49" spans="2:9" ht="15" customHeight="1" x14ac:dyDescent="0.2">
      <c r="B49" t="s">
        <v>169</v>
      </c>
      <c r="C49" s="12">
        <v>286</v>
      </c>
      <c r="D49" s="8">
        <v>2.95</v>
      </c>
      <c r="E49" s="12">
        <v>215</v>
      </c>
      <c r="F49" s="8">
        <v>7.52</v>
      </c>
      <c r="G49" s="12">
        <v>71</v>
      </c>
      <c r="H49" s="8">
        <v>1.04</v>
      </c>
      <c r="I49" s="12">
        <v>0</v>
      </c>
    </row>
    <row r="50" spans="2:9" ht="15" customHeight="1" x14ac:dyDescent="0.2">
      <c r="B50" t="s">
        <v>178</v>
      </c>
      <c r="C50" s="12">
        <v>263</v>
      </c>
      <c r="D50" s="8">
        <v>2.71</v>
      </c>
      <c r="E50" s="12">
        <v>46</v>
      </c>
      <c r="F50" s="8">
        <v>1.61</v>
      </c>
      <c r="G50" s="12">
        <v>217</v>
      </c>
      <c r="H50" s="8">
        <v>3.18</v>
      </c>
      <c r="I50" s="12">
        <v>0</v>
      </c>
    </row>
    <row r="51" spans="2:9" ht="15" customHeight="1" x14ac:dyDescent="0.2">
      <c r="B51" t="s">
        <v>172</v>
      </c>
      <c r="C51" s="12">
        <v>263</v>
      </c>
      <c r="D51" s="8">
        <v>2.71</v>
      </c>
      <c r="E51" s="12">
        <v>213</v>
      </c>
      <c r="F51" s="8">
        <v>7.45</v>
      </c>
      <c r="G51" s="12">
        <v>50</v>
      </c>
      <c r="H51" s="8">
        <v>0.73</v>
      </c>
      <c r="I51" s="12">
        <v>0</v>
      </c>
    </row>
    <row r="52" spans="2:9" ht="15" customHeight="1" x14ac:dyDescent="0.2">
      <c r="B52" t="s">
        <v>175</v>
      </c>
      <c r="C52" s="12">
        <v>192</v>
      </c>
      <c r="D52" s="8">
        <v>1.98</v>
      </c>
      <c r="E52" s="12">
        <v>142</v>
      </c>
      <c r="F52" s="8">
        <v>4.97</v>
      </c>
      <c r="G52" s="12">
        <v>50</v>
      </c>
      <c r="H52" s="8">
        <v>0.73</v>
      </c>
      <c r="I52" s="12">
        <v>0</v>
      </c>
    </row>
    <row r="53" spans="2:9" ht="15" customHeight="1" x14ac:dyDescent="0.2">
      <c r="B53" t="s">
        <v>171</v>
      </c>
      <c r="C53" s="12">
        <v>178</v>
      </c>
      <c r="D53" s="8">
        <v>1.83</v>
      </c>
      <c r="E53" s="12">
        <v>155</v>
      </c>
      <c r="F53" s="8">
        <v>5.42</v>
      </c>
      <c r="G53" s="12">
        <v>23</v>
      </c>
      <c r="H53" s="8">
        <v>0.34</v>
      </c>
      <c r="I53" s="12">
        <v>0</v>
      </c>
    </row>
    <row r="54" spans="2:9" ht="15" customHeight="1" x14ac:dyDescent="0.2">
      <c r="B54" t="s">
        <v>185</v>
      </c>
      <c r="C54" s="12">
        <v>177</v>
      </c>
      <c r="D54" s="8">
        <v>1.82</v>
      </c>
      <c r="E54" s="12">
        <v>15</v>
      </c>
      <c r="F54" s="8">
        <v>0.52</v>
      </c>
      <c r="G54" s="12">
        <v>162</v>
      </c>
      <c r="H54" s="8">
        <v>2.37</v>
      </c>
      <c r="I54" s="12">
        <v>0</v>
      </c>
    </row>
    <row r="55" spans="2:9" ht="15" customHeight="1" x14ac:dyDescent="0.2">
      <c r="B55" t="s">
        <v>163</v>
      </c>
      <c r="C55" s="12">
        <v>171</v>
      </c>
      <c r="D55" s="8">
        <v>1.76</v>
      </c>
      <c r="E55" s="12">
        <v>6</v>
      </c>
      <c r="F55" s="8">
        <v>0.21</v>
      </c>
      <c r="G55" s="12">
        <v>165</v>
      </c>
      <c r="H55" s="8">
        <v>2.42</v>
      </c>
      <c r="I55" s="12">
        <v>0</v>
      </c>
    </row>
    <row r="56" spans="2:9" ht="15" customHeight="1" x14ac:dyDescent="0.2">
      <c r="B56" t="s">
        <v>158</v>
      </c>
      <c r="C56" s="12">
        <v>165</v>
      </c>
      <c r="D56" s="8">
        <v>1.7</v>
      </c>
      <c r="E56" s="12">
        <v>84</v>
      </c>
      <c r="F56" s="8">
        <v>2.94</v>
      </c>
      <c r="G56" s="12">
        <v>81</v>
      </c>
      <c r="H56" s="8">
        <v>1.19</v>
      </c>
      <c r="I56" s="12">
        <v>0</v>
      </c>
    </row>
    <row r="57" spans="2:9" ht="15" customHeight="1" x14ac:dyDescent="0.2">
      <c r="B57" t="s">
        <v>159</v>
      </c>
      <c r="C57" s="12">
        <v>163</v>
      </c>
      <c r="D57" s="8">
        <v>1.68</v>
      </c>
      <c r="E57" s="12">
        <v>81</v>
      </c>
      <c r="F57" s="8">
        <v>2.83</v>
      </c>
      <c r="G57" s="12">
        <v>82</v>
      </c>
      <c r="H57" s="8">
        <v>1.2</v>
      </c>
      <c r="I57" s="12">
        <v>0</v>
      </c>
    </row>
    <row r="58" spans="2:9" ht="15" customHeight="1" x14ac:dyDescent="0.2">
      <c r="B58" t="s">
        <v>161</v>
      </c>
      <c r="C58" s="12">
        <v>161</v>
      </c>
      <c r="D58" s="8">
        <v>1.66</v>
      </c>
      <c r="E58" s="12">
        <v>17</v>
      </c>
      <c r="F58" s="8">
        <v>0.59</v>
      </c>
      <c r="G58" s="12">
        <v>144</v>
      </c>
      <c r="H58" s="8">
        <v>2.11</v>
      </c>
      <c r="I58" s="12">
        <v>0</v>
      </c>
    </row>
    <row r="59" spans="2:9" ht="15" customHeight="1" x14ac:dyDescent="0.2">
      <c r="B59" t="s">
        <v>176</v>
      </c>
      <c r="C59" s="12">
        <v>157</v>
      </c>
      <c r="D59" s="8">
        <v>1.62</v>
      </c>
      <c r="E59" s="12">
        <v>11</v>
      </c>
      <c r="F59" s="8">
        <v>0.38</v>
      </c>
      <c r="G59" s="12">
        <v>144</v>
      </c>
      <c r="H59" s="8">
        <v>2.11</v>
      </c>
      <c r="I59" s="12">
        <v>2</v>
      </c>
    </row>
    <row r="60" spans="2:9" ht="15" customHeight="1" x14ac:dyDescent="0.2">
      <c r="B60" t="s">
        <v>196</v>
      </c>
      <c r="C60" s="12">
        <v>142</v>
      </c>
      <c r="D60" s="8">
        <v>1.46</v>
      </c>
      <c r="E60" s="12">
        <v>12</v>
      </c>
      <c r="F60" s="8">
        <v>0.42</v>
      </c>
      <c r="G60" s="12">
        <v>130</v>
      </c>
      <c r="H60" s="8">
        <v>1.9</v>
      </c>
      <c r="I60" s="12">
        <v>0</v>
      </c>
    </row>
    <row r="61" spans="2:9" ht="15" customHeight="1" x14ac:dyDescent="0.2">
      <c r="B61" t="s">
        <v>157</v>
      </c>
      <c r="C61" s="12">
        <v>135</v>
      </c>
      <c r="D61" s="8">
        <v>1.39</v>
      </c>
      <c r="E61" s="12">
        <v>0</v>
      </c>
      <c r="F61" s="8">
        <v>0</v>
      </c>
      <c r="G61" s="12">
        <v>135</v>
      </c>
      <c r="H61" s="8">
        <v>1.98</v>
      </c>
      <c r="I61" s="12">
        <v>0</v>
      </c>
    </row>
    <row r="62" spans="2:9" ht="15" customHeight="1" x14ac:dyDescent="0.2">
      <c r="B62" t="s">
        <v>195</v>
      </c>
      <c r="C62" s="12">
        <v>121</v>
      </c>
      <c r="D62" s="8">
        <v>1.25</v>
      </c>
      <c r="E62" s="12">
        <v>13</v>
      </c>
      <c r="F62" s="8">
        <v>0.45</v>
      </c>
      <c r="G62" s="12">
        <v>108</v>
      </c>
      <c r="H62" s="8">
        <v>1.58</v>
      </c>
      <c r="I62" s="12">
        <v>0</v>
      </c>
    </row>
    <row r="63" spans="2:9" ht="15" customHeight="1" x14ac:dyDescent="0.2">
      <c r="B63" t="s">
        <v>160</v>
      </c>
      <c r="C63" s="12">
        <v>120</v>
      </c>
      <c r="D63" s="8">
        <v>1.24</v>
      </c>
      <c r="E63" s="12">
        <v>7</v>
      </c>
      <c r="F63" s="8">
        <v>0.24</v>
      </c>
      <c r="G63" s="12">
        <v>113</v>
      </c>
      <c r="H63" s="8">
        <v>1.65</v>
      </c>
      <c r="I63" s="12">
        <v>0</v>
      </c>
    </row>
    <row r="64" spans="2:9" ht="15" customHeight="1" x14ac:dyDescent="0.2">
      <c r="B64" t="s">
        <v>197</v>
      </c>
      <c r="C64" s="12">
        <v>118</v>
      </c>
      <c r="D64" s="8">
        <v>1.22</v>
      </c>
      <c r="E64" s="12">
        <v>45</v>
      </c>
      <c r="F64" s="8">
        <v>1.57</v>
      </c>
      <c r="G64" s="12">
        <v>73</v>
      </c>
      <c r="H64" s="8">
        <v>1.07</v>
      </c>
      <c r="I64" s="12">
        <v>0</v>
      </c>
    </row>
    <row r="65" spans="2:9" ht="15" customHeight="1" x14ac:dyDescent="0.2">
      <c r="B65" t="s">
        <v>166</v>
      </c>
      <c r="C65" s="12">
        <v>116</v>
      </c>
      <c r="D65" s="8">
        <v>1.2</v>
      </c>
      <c r="E65" s="12">
        <v>2</v>
      </c>
      <c r="F65" s="8">
        <v>7.0000000000000007E-2</v>
      </c>
      <c r="G65" s="12">
        <v>114</v>
      </c>
      <c r="H65" s="8">
        <v>1.67</v>
      </c>
      <c r="I65" s="12">
        <v>0</v>
      </c>
    </row>
    <row r="66" spans="2:9" ht="15" customHeight="1" x14ac:dyDescent="0.2">
      <c r="B66" t="s">
        <v>177</v>
      </c>
      <c r="C66" s="12">
        <v>113</v>
      </c>
      <c r="D66" s="8">
        <v>1.1599999999999999</v>
      </c>
      <c r="E66" s="12">
        <v>10</v>
      </c>
      <c r="F66" s="8">
        <v>0.35</v>
      </c>
      <c r="G66" s="12">
        <v>103</v>
      </c>
      <c r="H66" s="8">
        <v>1.51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E20A-1012-42B4-8CCD-FD48BAD1C0D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800</v>
      </c>
      <c r="D6" s="8">
        <v>7.71</v>
      </c>
      <c r="E6" s="12">
        <v>92</v>
      </c>
      <c r="F6" s="8">
        <v>2.57</v>
      </c>
      <c r="G6" s="12">
        <v>708</v>
      </c>
      <c r="H6" s="8">
        <v>10.5</v>
      </c>
      <c r="I6" s="12">
        <v>0</v>
      </c>
    </row>
    <row r="7" spans="2:9" ht="15" customHeight="1" x14ac:dyDescent="0.2">
      <c r="B7" t="s">
        <v>67</v>
      </c>
      <c r="C7" s="12">
        <v>952</v>
      </c>
      <c r="D7" s="8">
        <v>9.17</v>
      </c>
      <c r="E7" s="12">
        <v>142</v>
      </c>
      <c r="F7" s="8">
        <v>3.96</v>
      </c>
      <c r="G7" s="12">
        <v>810</v>
      </c>
      <c r="H7" s="8">
        <v>12.01</v>
      </c>
      <c r="I7" s="12">
        <v>0</v>
      </c>
    </row>
    <row r="8" spans="2:9" ht="15" customHeight="1" x14ac:dyDescent="0.2">
      <c r="B8" t="s">
        <v>68</v>
      </c>
      <c r="C8" s="12">
        <v>16</v>
      </c>
      <c r="D8" s="8">
        <v>0.15</v>
      </c>
      <c r="E8" s="12">
        <v>0</v>
      </c>
      <c r="F8" s="8">
        <v>0</v>
      </c>
      <c r="G8" s="12">
        <v>16</v>
      </c>
      <c r="H8" s="8">
        <v>0.24</v>
      </c>
      <c r="I8" s="12">
        <v>0</v>
      </c>
    </row>
    <row r="9" spans="2:9" ht="15" customHeight="1" x14ac:dyDescent="0.2">
      <c r="B9" t="s">
        <v>69</v>
      </c>
      <c r="C9" s="12">
        <v>353</v>
      </c>
      <c r="D9" s="8">
        <v>3.4</v>
      </c>
      <c r="E9" s="12">
        <v>6</v>
      </c>
      <c r="F9" s="8">
        <v>0.17</v>
      </c>
      <c r="G9" s="12">
        <v>347</v>
      </c>
      <c r="H9" s="8">
        <v>5.15</v>
      </c>
      <c r="I9" s="12">
        <v>0</v>
      </c>
    </row>
    <row r="10" spans="2:9" ht="15" customHeight="1" x14ac:dyDescent="0.2">
      <c r="B10" t="s">
        <v>70</v>
      </c>
      <c r="C10" s="12">
        <v>151</v>
      </c>
      <c r="D10" s="8">
        <v>1.45</v>
      </c>
      <c r="E10" s="12">
        <v>41</v>
      </c>
      <c r="F10" s="8">
        <v>1.1399999999999999</v>
      </c>
      <c r="G10" s="12">
        <v>110</v>
      </c>
      <c r="H10" s="8">
        <v>1.63</v>
      </c>
      <c r="I10" s="12">
        <v>0</v>
      </c>
    </row>
    <row r="11" spans="2:9" ht="15" customHeight="1" x14ac:dyDescent="0.2">
      <c r="B11" t="s">
        <v>71</v>
      </c>
      <c r="C11" s="12">
        <v>1878</v>
      </c>
      <c r="D11" s="8">
        <v>18.09</v>
      </c>
      <c r="E11" s="12">
        <v>483</v>
      </c>
      <c r="F11" s="8">
        <v>13.48</v>
      </c>
      <c r="G11" s="12">
        <v>1395</v>
      </c>
      <c r="H11" s="8">
        <v>20.69</v>
      </c>
      <c r="I11" s="12">
        <v>0</v>
      </c>
    </row>
    <row r="12" spans="2:9" ht="15" customHeight="1" x14ac:dyDescent="0.2">
      <c r="B12" t="s">
        <v>72</v>
      </c>
      <c r="C12" s="12">
        <v>67</v>
      </c>
      <c r="D12" s="8">
        <v>0.65</v>
      </c>
      <c r="E12" s="12">
        <v>3</v>
      </c>
      <c r="F12" s="8">
        <v>0.08</v>
      </c>
      <c r="G12" s="12">
        <v>64</v>
      </c>
      <c r="H12" s="8">
        <v>0.95</v>
      </c>
      <c r="I12" s="12">
        <v>0</v>
      </c>
    </row>
    <row r="13" spans="2:9" ht="15" customHeight="1" x14ac:dyDescent="0.2">
      <c r="B13" t="s">
        <v>73</v>
      </c>
      <c r="C13" s="12">
        <v>1965</v>
      </c>
      <c r="D13" s="8">
        <v>18.93</v>
      </c>
      <c r="E13" s="12">
        <v>771</v>
      </c>
      <c r="F13" s="8">
        <v>21.52</v>
      </c>
      <c r="G13" s="12">
        <v>1192</v>
      </c>
      <c r="H13" s="8">
        <v>17.670000000000002</v>
      </c>
      <c r="I13" s="12">
        <v>2</v>
      </c>
    </row>
    <row r="14" spans="2:9" ht="15" customHeight="1" x14ac:dyDescent="0.2">
      <c r="B14" t="s">
        <v>74</v>
      </c>
      <c r="C14" s="12">
        <v>881</v>
      </c>
      <c r="D14" s="8">
        <v>8.49</v>
      </c>
      <c r="E14" s="12">
        <v>253</v>
      </c>
      <c r="F14" s="8">
        <v>7.06</v>
      </c>
      <c r="G14" s="12">
        <v>626</v>
      </c>
      <c r="H14" s="8">
        <v>9.2799999999999994</v>
      </c>
      <c r="I14" s="12">
        <v>1</v>
      </c>
    </row>
    <row r="15" spans="2:9" ht="15" customHeight="1" x14ac:dyDescent="0.2">
      <c r="B15" t="s">
        <v>75</v>
      </c>
      <c r="C15" s="12">
        <v>1330</v>
      </c>
      <c r="D15" s="8">
        <v>12.81</v>
      </c>
      <c r="E15" s="12">
        <v>852</v>
      </c>
      <c r="F15" s="8">
        <v>23.78</v>
      </c>
      <c r="G15" s="12">
        <v>478</v>
      </c>
      <c r="H15" s="8">
        <v>7.09</v>
      </c>
      <c r="I15" s="12">
        <v>0</v>
      </c>
    </row>
    <row r="16" spans="2:9" ht="15" customHeight="1" x14ac:dyDescent="0.2">
      <c r="B16" t="s">
        <v>76</v>
      </c>
      <c r="C16" s="12">
        <v>868</v>
      </c>
      <c r="D16" s="8">
        <v>8.36</v>
      </c>
      <c r="E16" s="12">
        <v>495</v>
      </c>
      <c r="F16" s="8">
        <v>13.82</v>
      </c>
      <c r="G16" s="12">
        <v>373</v>
      </c>
      <c r="H16" s="8">
        <v>5.53</v>
      </c>
      <c r="I16" s="12">
        <v>0</v>
      </c>
    </row>
    <row r="17" spans="2:9" ht="15" customHeight="1" x14ac:dyDescent="0.2">
      <c r="B17" t="s">
        <v>77</v>
      </c>
      <c r="C17" s="12">
        <v>244</v>
      </c>
      <c r="D17" s="8">
        <v>2.35</v>
      </c>
      <c r="E17" s="12">
        <v>106</v>
      </c>
      <c r="F17" s="8">
        <v>2.96</v>
      </c>
      <c r="G17" s="12">
        <v>137</v>
      </c>
      <c r="H17" s="8">
        <v>2.0299999999999998</v>
      </c>
      <c r="I17" s="12">
        <v>1</v>
      </c>
    </row>
    <row r="18" spans="2:9" ht="15" customHeight="1" x14ac:dyDescent="0.2">
      <c r="B18" t="s">
        <v>78</v>
      </c>
      <c r="C18" s="12">
        <v>490</v>
      </c>
      <c r="D18" s="8">
        <v>4.72</v>
      </c>
      <c r="E18" s="12">
        <v>314</v>
      </c>
      <c r="F18" s="8">
        <v>8.76</v>
      </c>
      <c r="G18" s="12">
        <v>136</v>
      </c>
      <c r="H18" s="8">
        <v>2.02</v>
      </c>
      <c r="I18" s="12">
        <v>2</v>
      </c>
    </row>
    <row r="19" spans="2:9" ht="15" customHeight="1" x14ac:dyDescent="0.2">
      <c r="B19" t="s">
        <v>79</v>
      </c>
      <c r="C19" s="12">
        <v>383</v>
      </c>
      <c r="D19" s="8">
        <v>3.69</v>
      </c>
      <c r="E19" s="12">
        <v>25</v>
      </c>
      <c r="F19" s="8">
        <v>0.7</v>
      </c>
      <c r="G19" s="12">
        <v>351</v>
      </c>
      <c r="H19" s="8">
        <v>5.2</v>
      </c>
      <c r="I19" s="12">
        <v>3</v>
      </c>
    </row>
    <row r="20" spans="2:9" ht="15" customHeight="1" x14ac:dyDescent="0.2">
      <c r="B20" s="9" t="s">
        <v>280</v>
      </c>
      <c r="C20" s="12">
        <f>SUM(LTBL_13109[総数／事業所数])</f>
        <v>10379</v>
      </c>
      <c r="E20" s="12">
        <f>SUBTOTAL(109,LTBL_13109[個人／事業所数])</f>
        <v>3583</v>
      </c>
      <c r="G20" s="12">
        <f>SUBTOTAL(109,LTBL_13109[法人／事業所数])</f>
        <v>6744</v>
      </c>
      <c r="I20" s="12">
        <f>SUBTOTAL(109,LTBL_13109[法人以外の団体／事業所数])</f>
        <v>9</v>
      </c>
    </row>
    <row r="21" spans="2:9" ht="15" customHeight="1" x14ac:dyDescent="0.2">
      <c r="E21" s="11">
        <f>LTBL_13109[[#Totals],[個人／事業所数]]/LTBL_13109[[#Totals],[総数／事業所数]]</f>
        <v>0.34521630214856924</v>
      </c>
      <c r="G21" s="11">
        <f>LTBL_13109[[#Totals],[法人／事業所数]]/LTBL_13109[[#Totals],[総数／事業所数]]</f>
        <v>0.64977358126987184</v>
      </c>
      <c r="I21" s="11">
        <f>LTBL_13109[[#Totals],[法人以外の団体／事業所数]]/LTBL_13109[[#Totals],[総数／事業所数]]</f>
        <v>8.6713556219288946E-4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1665</v>
      </c>
      <c r="D24" s="8">
        <v>16.04</v>
      </c>
      <c r="E24" s="12">
        <v>753</v>
      </c>
      <c r="F24" s="8">
        <v>21.02</v>
      </c>
      <c r="G24" s="12">
        <v>910</v>
      </c>
      <c r="H24" s="8">
        <v>13.49</v>
      </c>
      <c r="I24" s="12">
        <v>2</v>
      </c>
    </row>
    <row r="25" spans="2:9" ht="15" customHeight="1" x14ac:dyDescent="0.2">
      <c r="B25" t="s">
        <v>103</v>
      </c>
      <c r="C25" s="12">
        <v>1221</v>
      </c>
      <c r="D25" s="8">
        <v>11.76</v>
      </c>
      <c r="E25" s="12">
        <v>842</v>
      </c>
      <c r="F25" s="8">
        <v>23.5</v>
      </c>
      <c r="G25" s="12">
        <v>379</v>
      </c>
      <c r="H25" s="8">
        <v>5.62</v>
      </c>
      <c r="I25" s="12">
        <v>0</v>
      </c>
    </row>
    <row r="26" spans="2:9" ht="15" customHeight="1" x14ac:dyDescent="0.2">
      <c r="B26" t="s">
        <v>104</v>
      </c>
      <c r="C26" s="12">
        <v>634</v>
      </c>
      <c r="D26" s="8">
        <v>6.11</v>
      </c>
      <c r="E26" s="12">
        <v>428</v>
      </c>
      <c r="F26" s="8">
        <v>11.95</v>
      </c>
      <c r="G26" s="12">
        <v>206</v>
      </c>
      <c r="H26" s="8">
        <v>3.05</v>
      </c>
      <c r="I26" s="12">
        <v>0</v>
      </c>
    </row>
    <row r="27" spans="2:9" ht="15" customHeight="1" x14ac:dyDescent="0.2">
      <c r="B27" t="s">
        <v>101</v>
      </c>
      <c r="C27" s="12">
        <v>601</v>
      </c>
      <c r="D27" s="8">
        <v>5.79</v>
      </c>
      <c r="E27" s="12">
        <v>206</v>
      </c>
      <c r="F27" s="8">
        <v>5.75</v>
      </c>
      <c r="G27" s="12">
        <v>395</v>
      </c>
      <c r="H27" s="8">
        <v>5.86</v>
      </c>
      <c r="I27" s="12">
        <v>0</v>
      </c>
    </row>
    <row r="28" spans="2:9" ht="15" customHeight="1" x14ac:dyDescent="0.2">
      <c r="B28" t="s">
        <v>98</v>
      </c>
      <c r="C28" s="12">
        <v>449</v>
      </c>
      <c r="D28" s="8">
        <v>4.33</v>
      </c>
      <c r="E28" s="12">
        <v>165</v>
      </c>
      <c r="F28" s="8">
        <v>4.6100000000000003</v>
      </c>
      <c r="G28" s="12">
        <v>284</v>
      </c>
      <c r="H28" s="8">
        <v>4.21</v>
      </c>
      <c r="I28" s="12">
        <v>0</v>
      </c>
    </row>
    <row r="29" spans="2:9" ht="15" customHeight="1" x14ac:dyDescent="0.2">
      <c r="B29" t="s">
        <v>106</v>
      </c>
      <c r="C29" s="12">
        <v>382</v>
      </c>
      <c r="D29" s="8">
        <v>3.68</v>
      </c>
      <c r="E29" s="12">
        <v>310</v>
      </c>
      <c r="F29" s="8">
        <v>8.65</v>
      </c>
      <c r="G29" s="12">
        <v>71</v>
      </c>
      <c r="H29" s="8">
        <v>1.05</v>
      </c>
      <c r="I29" s="12">
        <v>1</v>
      </c>
    </row>
    <row r="30" spans="2:9" ht="15" customHeight="1" x14ac:dyDescent="0.2">
      <c r="B30" t="s">
        <v>96</v>
      </c>
      <c r="C30" s="12">
        <v>315</v>
      </c>
      <c r="D30" s="8">
        <v>3.03</v>
      </c>
      <c r="E30" s="12">
        <v>170</v>
      </c>
      <c r="F30" s="8">
        <v>4.74</v>
      </c>
      <c r="G30" s="12">
        <v>145</v>
      </c>
      <c r="H30" s="8">
        <v>2.15</v>
      </c>
      <c r="I30" s="12">
        <v>0</v>
      </c>
    </row>
    <row r="31" spans="2:9" ht="15" customHeight="1" x14ac:dyDescent="0.2">
      <c r="B31" t="s">
        <v>89</v>
      </c>
      <c r="C31" s="12">
        <v>287</v>
      </c>
      <c r="D31" s="8">
        <v>2.77</v>
      </c>
      <c r="E31" s="12">
        <v>54</v>
      </c>
      <c r="F31" s="8">
        <v>1.51</v>
      </c>
      <c r="G31" s="12">
        <v>233</v>
      </c>
      <c r="H31" s="8">
        <v>3.45</v>
      </c>
      <c r="I31" s="12">
        <v>0</v>
      </c>
    </row>
    <row r="32" spans="2:9" ht="15" customHeight="1" x14ac:dyDescent="0.2">
      <c r="B32" t="s">
        <v>99</v>
      </c>
      <c r="C32" s="12">
        <v>279</v>
      </c>
      <c r="D32" s="8">
        <v>2.69</v>
      </c>
      <c r="E32" s="12">
        <v>17</v>
      </c>
      <c r="F32" s="8">
        <v>0.47</v>
      </c>
      <c r="G32" s="12">
        <v>262</v>
      </c>
      <c r="H32" s="8">
        <v>3.88</v>
      </c>
      <c r="I32" s="12">
        <v>0</v>
      </c>
    </row>
    <row r="33" spans="2:9" ht="15" customHeight="1" x14ac:dyDescent="0.2">
      <c r="B33" t="s">
        <v>90</v>
      </c>
      <c r="C33" s="12">
        <v>268</v>
      </c>
      <c r="D33" s="8">
        <v>2.58</v>
      </c>
      <c r="E33" s="12">
        <v>16</v>
      </c>
      <c r="F33" s="8">
        <v>0.45</v>
      </c>
      <c r="G33" s="12">
        <v>252</v>
      </c>
      <c r="H33" s="8">
        <v>3.74</v>
      </c>
      <c r="I33" s="12">
        <v>0</v>
      </c>
    </row>
    <row r="34" spans="2:9" ht="15" customHeight="1" x14ac:dyDescent="0.2">
      <c r="B34" t="s">
        <v>88</v>
      </c>
      <c r="C34" s="12">
        <v>245</v>
      </c>
      <c r="D34" s="8">
        <v>2.36</v>
      </c>
      <c r="E34" s="12">
        <v>22</v>
      </c>
      <c r="F34" s="8">
        <v>0.61</v>
      </c>
      <c r="G34" s="12">
        <v>223</v>
      </c>
      <c r="H34" s="8">
        <v>3.31</v>
      </c>
      <c r="I34" s="12">
        <v>0</v>
      </c>
    </row>
    <row r="35" spans="2:9" ht="15" customHeight="1" x14ac:dyDescent="0.2">
      <c r="B35" t="s">
        <v>105</v>
      </c>
      <c r="C35" s="12">
        <v>244</v>
      </c>
      <c r="D35" s="8">
        <v>2.35</v>
      </c>
      <c r="E35" s="12">
        <v>106</v>
      </c>
      <c r="F35" s="8">
        <v>2.96</v>
      </c>
      <c r="G35" s="12">
        <v>137</v>
      </c>
      <c r="H35" s="8">
        <v>2.0299999999999998</v>
      </c>
      <c r="I35" s="12">
        <v>1</v>
      </c>
    </row>
    <row r="36" spans="2:9" ht="15" customHeight="1" x14ac:dyDescent="0.2">
      <c r="B36" t="s">
        <v>107</v>
      </c>
      <c r="C36" s="12">
        <v>234</v>
      </c>
      <c r="D36" s="8">
        <v>2.25</v>
      </c>
      <c r="E36" s="12">
        <v>6</v>
      </c>
      <c r="F36" s="8">
        <v>0.17</v>
      </c>
      <c r="G36" s="12">
        <v>225</v>
      </c>
      <c r="H36" s="8">
        <v>3.34</v>
      </c>
      <c r="I36" s="12">
        <v>3</v>
      </c>
    </row>
    <row r="37" spans="2:9" ht="15" customHeight="1" x14ac:dyDescent="0.2">
      <c r="B37" t="s">
        <v>102</v>
      </c>
      <c r="C37" s="12">
        <v>233</v>
      </c>
      <c r="D37" s="8">
        <v>2.2400000000000002</v>
      </c>
      <c r="E37" s="12">
        <v>47</v>
      </c>
      <c r="F37" s="8">
        <v>1.31</v>
      </c>
      <c r="G37" s="12">
        <v>184</v>
      </c>
      <c r="H37" s="8">
        <v>2.73</v>
      </c>
      <c r="I37" s="12">
        <v>1</v>
      </c>
    </row>
    <row r="38" spans="2:9" ht="15" customHeight="1" x14ac:dyDescent="0.2">
      <c r="B38" t="s">
        <v>93</v>
      </c>
      <c r="C38" s="12">
        <v>229</v>
      </c>
      <c r="D38" s="8">
        <v>2.21</v>
      </c>
      <c r="E38" s="12">
        <v>5</v>
      </c>
      <c r="F38" s="8">
        <v>0.14000000000000001</v>
      </c>
      <c r="G38" s="12">
        <v>224</v>
      </c>
      <c r="H38" s="8">
        <v>3.32</v>
      </c>
      <c r="I38" s="12">
        <v>0</v>
      </c>
    </row>
    <row r="39" spans="2:9" ht="15" customHeight="1" x14ac:dyDescent="0.2">
      <c r="B39" t="s">
        <v>91</v>
      </c>
      <c r="C39" s="12">
        <v>201</v>
      </c>
      <c r="D39" s="8">
        <v>1.94</v>
      </c>
      <c r="E39" s="12">
        <v>4</v>
      </c>
      <c r="F39" s="8">
        <v>0.11</v>
      </c>
      <c r="G39" s="12">
        <v>197</v>
      </c>
      <c r="H39" s="8">
        <v>2.92</v>
      </c>
      <c r="I39" s="12">
        <v>0</v>
      </c>
    </row>
    <row r="40" spans="2:9" ht="15" customHeight="1" x14ac:dyDescent="0.2">
      <c r="B40" t="s">
        <v>95</v>
      </c>
      <c r="C40" s="12">
        <v>189</v>
      </c>
      <c r="D40" s="8">
        <v>1.82</v>
      </c>
      <c r="E40" s="12">
        <v>71</v>
      </c>
      <c r="F40" s="8">
        <v>1.98</v>
      </c>
      <c r="G40" s="12">
        <v>118</v>
      </c>
      <c r="H40" s="8">
        <v>1.75</v>
      </c>
      <c r="I40" s="12">
        <v>0</v>
      </c>
    </row>
    <row r="41" spans="2:9" ht="15" customHeight="1" x14ac:dyDescent="0.2">
      <c r="B41" t="s">
        <v>94</v>
      </c>
      <c r="C41" s="12">
        <v>182</v>
      </c>
      <c r="D41" s="8">
        <v>1.75</v>
      </c>
      <c r="E41" s="12">
        <v>10</v>
      </c>
      <c r="F41" s="8">
        <v>0.28000000000000003</v>
      </c>
      <c r="G41" s="12">
        <v>172</v>
      </c>
      <c r="H41" s="8">
        <v>2.5499999999999998</v>
      </c>
      <c r="I41" s="12">
        <v>0</v>
      </c>
    </row>
    <row r="42" spans="2:9" ht="15" customHeight="1" x14ac:dyDescent="0.2">
      <c r="B42" t="s">
        <v>110</v>
      </c>
      <c r="C42" s="12">
        <v>159</v>
      </c>
      <c r="D42" s="8">
        <v>1.53</v>
      </c>
      <c r="E42" s="12">
        <v>12</v>
      </c>
      <c r="F42" s="8">
        <v>0.33</v>
      </c>
      <c r="G42" s="12">
        <v>147</v>
      </c>
      <c r="H42" s="8">
        <v>2.1800000000000002</v>
      </c>
      <c r="I42" s="12">
        <v>0</v>
      </c>
    </row>
    <row r="43" spans="2:9" ht="15" customHeight="1" x14ac:dyDescent="0.2">
      <c r="B43" t="s">
        <v>119</v>
      </c>
      <c r="C43" s="12">
        <v>156</v>
      </c>
      <c r="D43" s="8">
        <v>1.5</v>
      </c>
      <c r="E43" s="12">
        <v>24</v>
      </c>
      <c r="F43" s="8">
        <v>0.67</v>
      </c>
      <c r="G43" s="12">
        <v>132</v>
      </c>
      <c r="H43" s="8">
        <v>1.96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1131</v>
      </c>
      <c r="D47" s="8">
        <v>10.9</v>
      </c>
      <c r="E47" s="12">
        <v>647</v>
      </c>
      <c r="F47" s="8">
        <v>18.059999999999999</v>
      </c>
      <c r="G47" s="12">
        <v>484</v>
      </c>
      <c r="H47" s="8">
        <v>7.18</v>
      </c>
      <c r="I47" s="12">
        <v>0</v>
      </c>
    </row>
    <row r="48" spans="2:9" ht="15" customHeight="1" x14ac:dyDescent="0.2">
      <c r="B48" t="s">
        <v>168</v>
      </c>
      <c r="C48" s="12">
        <v>408</v>
      </c>
      <c r="D48" s="8">
        <v>3.93</v>
      </c>
      <c r="E48" s="12">
        <v>264</v>
      </c>
      <c r="F48" s="8">
        <v>7.37</v>
      </c>
      <c r="G48" s="12">
        <v>144</v>
      </c>
      <c r="H48" s="8">
        <v>2.14</v>
      </c>
      <c r="I48" s="12">
        <v>0</v>
      </c>
    </row>
    <row r="49" spans="2:9" ht="15" customHeight="1" x14ac:dyDescent="0.2">
      <c r="B49" t="s">
        <v>169</v>
      </c>
      <c r="C49" s="12">
        <v>329</v>
      </c>
      <c r="D49" s="8">
        <v>3.17</v>
      </c>
      <c r="E49" s="12">
        <v>251</v>
      </c>
      <c r="F49" s="8">
        <v>7.01</v>
      </c>
      <c r="G49" s="12">
        <v>78</v>
      </c>
      <c r="H49" s="8">
        <v>1.1599999999999999</v>
      </c>
      <c r="I49" s="12">
        <v>0</v>
      </c>
    </row>
    <row r="50" spans="2:9" ht="15" customHeight="1" x14ac:dyDescent="0.2">
      <c r="B50" t="s">
        <v>172</v>
      </c>
      <c r="C50" s="12">
        <v>277</v>
      </c>
      <c r="D50" s="8">
        <v>2.67</v>
      </c>
      <c r="E50" s="12">
        <v>210</v>
      </c>
      <c r="F50" s="8">
        <v>5.86</v>
      </c>
      <c r="G50" s="12">
        <v>67</v>
      </c>
      <c r="H50" s="8">
        <v>0.99</v>
      </c>
      <c r="I50" s="12">
        <v>0</v>
      </c>
    </row>
    <row r="51" spans="2:9" ht="15" customHeight="1" x14ac:dyDescent="0.2">
      <c r="B51" t="s">
        <v>163</v>
      </c>
      <c r="C51" s="12">
        <v>252</v>
      </c>
      <c r="D51" s="8">
        <v>2.4300000000000002</v>
      </c>
      <c r="E51" s="12">
        <v>9</v>
      </c>
      <c r="F51" s="8">
        <v>0.25</v>
      </c>
      <c r="G51" s="12">
        <v>241</v>
      </c>
      <c r="H51" s="8">
        <v>3.57</v>
      </c>
      <c r="I51" s="12">
        <v>2</v>
      </c>
    </row>
    <row r="52" spans="2:9" ht="15" customHeight="1" x14ac:dyDescent="0.2">
      <c r="B52" t="s">
        <v>160</v>
      </c>
      <c r="C52" s="12">
        <v>226</v>
      </c>
      <c r="D52" s="8">
        <v>2.1800000000000002</v>
      </c>
      <c r="E52" s="12">
        <v>17</v>
      </c>
      <c r="F52" s="8">
        <v>0.47</v>
      </c>
      <c r="G52" s="12">
        <v>209</v>
      </c>
      <c r="H52" s="8">
        <v>3.1</v>
      </c>
      <c r="I52" s="12">
        <v>0</v>
      </c>
    </row>
    <row r="53" spans="2:9" ht="15" customHeight="1" x14ac:dyDescent="0.2">
      <c r="B53" t="s">
        <v>175</v>
      </c>
      <c r="C53" s="12">
        <v>220</v>
      </c>
      <c r="D53" s="8">
        <v>2.12</v>
      </c>
      <c r="E53" s="12">
        <v>169</v>
      </c>
      <c r="F53" s="8">
        <v>4.72</v>
      </c>
      <c r="G53" s="12">
        <v>50</v>
      </c>
      <c r="H53" s="8">
        <v>0.74</v>
      </c>
      <c r="I53" s="12">
        <v>1</v>
      </c>
    </row>
    <row r="54" spans="2:9" ht="15" customHeight="1" x14ac:dyDescent="0.2">
      <c r="B54" t="s">
        <v>161</v>
      </c>
      <c r="C54" s="12">
        <v>205</v>
      </c>
      <c r="D54" s="8">
        <v>1.98</v>
      </c>
      <c r="E54" s="12">
        <v>43</v>
      </c>
      <c r="F54" s="8">
        <v>1.2</v>
      </c>
      <c r="G54" s="12">
        <v>162</v>
      </c>
      <c r="H54" s="8">
        <v>2.4</v>
      </c>
      <c r="I54" s="12">
        <v>0</v>
      </c>
    </row>
    <row r="55" spans="2:9" ht="15" customHeight="1" x14ac:dyDescent="0.2">
      <c r="B55" t="s">
        <v>170</v>
      </c>
      <c r="C55" s="12">
        <v>202</v>
      </c>
      <c r="D55" s="8">
        <v>1.95</v>
      </c>
      <c r="E55" s="12">
        <v>167</v>
      </c>
      <c r="F55" s="8">
        <v>4.66</v>
      </c>
      <c r="G55" s="12">
        <v>35</v>
      </c>
      <c r="H55" s="8">
        <v>0.52</v>
      </c>
      <c r="I55" s="12">
        <v>0</v>
      </c>
    </row>
    <row r="56" spans="2:9" ht="15" customHeight="1" x14ac:dyDescent="0.2">
      <c r="B56" t="s">
        <v>157</v>
      </c>
      <c r="C56" s="12">
        <v>178</v>
      </c>
      <c r="D56" s="8">
        <v>1.72</v>
      </c>
      <c r="E56" s="12">
        <v>4</v>
      </c>
      <c r="F56" s="8">
        <v>0.11</v>
      </c>
      <c r="G56" s="12">
        <v>174</v>
      </c>
      <c r="H56" s="8">
        <v>2.58</v>
      </c>
      <c r="I56" s="12">
        <v>0</v>
      </c>
    </row>
    <row r="57" spans="2:9" ht="15" customHeight="1" x14ac:dyDescent="0.2">
      <c r="B57" t="s">
        <v>159</v>
      </c>
      <c r="C57" s="12">
        <v>169</v>
      </c>
      <c r="D57" s="8">
        <v>1.63</v>
      </c>
      <c r="E57" s="12">
        <v>89</v>
      </c>
      <c r="F57" s="8">
        <v>2.48</v>
      </c>
      <c r="G57" s="12">
        <v>80</v>
      </c>
      <c r="H57" s="8">
        <v>1.19</v>
      </c>
      <c r="I57" s="12">
        <v>0</v>
      </c>
    </row>
    <row r="58" spans="2:9" ht="15" customHeight="1" x14ac:dyDescent="0.2">
      <c r="B58" t="s">
        <v>173</v>
      </c>
      <c r="C58" s="12">
        <v>168</v>
      </c>
      <c r="D58" s="8">
        <v>1.62</v>
      </c>
      <c r="E58" s="12">
        <v>87</v>
      </c>
      <c r="F58" s="8">
        <v>2.4300000000000002</v>
      </c>
      <c r="G58" s="12">
        <v>80</v>
      </c>
      <c r="H58" s="8">
        <v>1.19</v>
      </c>
      <c r="I58" s="12">
        <v>1</v>
      </c>
    </row>
    <row r="59" spans="2:9" ht="15" customHeight="1" x14ac:dyDescent="0.2">
      <c r="B59" t="s">
        <v>166</v>
      </c>
      <c r="C59" s="12">
        <v>167</v>
      </c>
      <c r="D59" s="8">
        <v>1.61</v>
      </c>
      <c r="E59" s="12">
        <v>7</v>
      </c>
      <c r="F59" s="8">
        <v>0.2</v>
      </c>
      <c r="G59" s="12">
        <v>160</v>
      </c>
      <c r="H59" s="8">
        <v>2.37</v>
      </c>
      <c r="I59" s="12">
        <v>0</v>
      </c>
    </row>
    <row r="60" spans="2:9" ht="15" customHeight="1" x14ac:dyDescent="0.2">
      <c r="B60" t="s">
        <v>165</v>
      </c>
      <c r="C60" s="12">
        <v>157</v>
      </c>
      <c r="D60" s="8">
        <v>1.51</v>
      </c>
      <c r="E60" s="12">
        <v>2</v>
      </c>
      <c r="F60" s="8">
        <v>0.06</v>
      </c>
      <c r="G60" s="12">
        <v>155</v>
      </c>
      <c r="H60" s="8">
        <v>2.2999999999999998</v>
      </c>
      <c r="I60" s="12">
        <v>0</v>
      </c>
    </row>
    <row r="61" spans="2:9" ht="15" customHeight="1" x14ac:dyDescent="0.2">
      <c r="B61" t="s">
        <v>176</v>
      </c>
      <c r="C61" s="12">
        <v>154</v>
      </c>
      <c r="D61" s="8">
        <v>1.48</v>
      </c>
      <c r="E61" s="12">
        <v>1</v>
      </c>
      <c r="F61" s="8">
        <v>0.03</v>
      </c>
      <c r="G61" s="12">
        <v>151</v>
      </c>
      <c r="H61" s="8">
        <v>2.2400000000000002</v>
      </c>
      <c r="I61" s="12">
        <v>2</v>
      </c>
    </row>
    <row r="62" spans="2:9" ht="15" customHeight="1" x14ac:dyDescent="0.2">
      <c r="B62" t="s">
        <v>174</v>
      </c>
      <c r="C62" s="12">
        <v>149</v>
      </c>
      <c r="D62" s="8">
        <v>1.44</v>
      </c>
      <c r="E62" s="12">
        <v>136</v>
      </c>
      <c r="F62" s="8">
        <v>3.8</v>
      </c>
      <c r="G62" s="12">
        <v>13</v>
      </c>
      <c r="H62" s="8">
        <v>0.19</v>
      </c>
      <c r="I62" s="12">
        <v>0</v>
      </c>
    </row>
    <row r="63" spans="2:9" ht="15" customHeight="1" x14ac:dyDescent="0.2">
      <c r="B63" t="s">
        <v>158</v>
      </c>
      <c r="C63" s="12">
        <v>146</v>
      </c>
      <c r="D63" s="8">
        <v>1.41</v>
      </c>
      <c r="E63" s="12">
        <v>84</v>
      </c>
      <c r="F63" s="8">
        <v>2.34</v>
      </c>
      <c r="G63" s="12">
        <v>62</v>
      </c>
      <c r="H63" s="8">
        <v>0.92</v>
      </c>
      <c r="I63" s="12">
        <v>0</v>
      </c>
    </row>
    <row r="64" spans="2:9" ht="15" customHeight="1" x14ac:dyDescent="0.2">
      <c r="B64" t="s">
        <v>171</v>
      </c>
      <c r="C64" s="12">
        <v>142</v>
      </c>
      <c r="D64" s="8">
        <v>1.37</v>
      </c>
      <c r="E64" s="12">
        <v>129</v>
      </c>
      <c r="F64" s="8">
        <v>3.6</v>
      </c>
      <c r="G64" s="12">
        <v>13</v>
      </c>
      <c r="H64" s="8">
        <v>0.19</v>
      </c>
      <c r="I64" s="12">
        <v>0</v>
      </c>
    </row>
    <row r="65" spans="2:9" ht="15" customHeight="1" x14ac:dyDescent="0.2">
      <c r="B65" t="s">
        <v>197</v>
      </c>
      <c r="C65" s="12">
        <v>128</v>
      </c>
      <c r="D65" s="8">
        <v>1.23</v>
      </c>
      <c r="E65" s="12">
        <v>49</v>
      </c>
      <c r="F65" s="8">
        <v>1.37</v>
      </c>
      <c r="G65" s="12">
        <v>79</v>
      </c>
      <c r="H65" s="8">
        <v>1.17</v>
      </c>
      <c r="I65" s="12">
        <v>0</v>
      </c>
    </row>
    <row r="66" spans="2:9" ht="15" customHeight="1" x14ac:dyDescent="0.2">
      <c r="B66" t="s">
        <v>198</v>
      </c>
      <c r="C66" s="12">
        <v>125</v>
      </c>
      <c r="D66" s="8">
        <v>1.2</v>
      </c>
      <c r="E66" s="12">
        <v>20</v>
      </c>
      <c r="F66" s="8">
        <v>0.56000000000000005</v>
      </c>
      <c r="G66" s="12">
        <v>105</v>
      </c>
      <c r="H66" s="8">
        <v>1.56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EC13-0022-4B0C-B87E-6D8FFB8237F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66</v>
      </c>
      <c r="C6" s="12">
        <v>412</v>
      </c>
      <c r="D6" s="8">
        <v>5.59</v>
      </c>
      <c r="E6" s="12">
        <v>53</v>
      </c>
      <c r="F6" s="8">
        <v>2.41</v>
      </c>
      <c r="G6" s="12">
        <v>359</v>
      </c>
      <c r="H6" s="8">
        <v>6.97</v>
      </c>
      <c r="I6" s="12">
        <v>0</v>
      </c>
    </row>
    <row r="7" spans="2:9" ht="15" customHeight="1" x14ac:dyDescent="0.2">
      <c r="B7" t="s">
        <v>67</v>
      </c>
      <c r="C7" s="12">
        <v>401</v>
      </c>
      <c r="D7" s="8">
        <v>5.44</v>
      </c>
      <c r="E7" s="12">
        <v>58</v>
      </c>
      <c r="F7" s="8">
        <v>2.64</v>
      </c>
      <c r="G7" s="12">
        <v>343</v>
      </c>
      <c r="H7" s="8">
        <v>6.66</v>
      </c>
      <c r="I7" s="12">
        <v>0</v>
      </c>
    </row>
    <row r="8" spans="2:9" ht="15" customHeight="1" x14ac:dyDescent="0.2">
      <c r="B8" t="s">
        <v>68</v>
      </c>
      <c r="C8" s="12">
        <v>9</v>
      </c>
      <c r="D8" s="8">
        <v>0.12</v>
      </c>
      <c r="E8" s="12">
        <v>0</v>
      </c>
      <c r="F8" s="8">
        <v>0</v>
      </c>
      <c r="G8" s="12">
        <v>9</v>
      </c>
      <c r="H8" s="8">
        <v>0.17</v>
      </c>
      <c r="I8" s="12">
        <v>0</v>
      </c>
    </row>
    <row r="9" spans="2:9" ht="15" customHeight="1" x14ac:dyDescent="0.2">
      <c r="B9" t="s">
        <v>69</v>
      </c>
      <c r="C9" s="12">
        <v>311</v>
      </c>
      <c r="D9" s="8">
        <v>4.22</v>
      </c>
      <c r="E9" s="12">
        <v>4</v>
      </c>
      <c r="F9" s="8">
        <v>0.18</v>
      </c>
      <c r="G9" s="12">
        <v>307</v>
      </c>
      <c r="H9" s="8">
        <v>5.96</v>
      </c>
      <c r="I9" s="12">
        <v>0</v>
      </c>
    </row>
    <row r="10" spans="2:9" ht="15" customHeight="1" x14ac:dyDescent="0.2">
      <c r="B10" t="s">
        <v>70</v>
      </c>
      <c r="C10" s="12">
        <v>28</v>
      </c>
      <c r="D10" s="8">
        <v>0.38</v>
      </c>
      <c r="E10" s="12">
        <v>4</v>
      </c>
      <c r="F10" s="8">
        <v>0.18</v>
      </c>
      <c r="G10" s="12">
        <v>24</v>
      </c>
      <c r="H10" s="8">
        <v>0.47</v>
      </c>
      <c r="I10" s="12">
        <v>0</v>
      </c>
    </row>
    <row r="11" spans="2:9" ht="15" customHeight="1" x14ac:dyDescent="0.2">
      <c r="B11" t="s">
        <v>71</v>
      </c>
      <c r="C11" s="12">
        <v>1557</v>
      </c>
      <c r="D11" s="8">
        <v>21.12</v>
      </c>
      <c r="E11" s="12">
        <v>415</v>
      </c>
      <c r="F11" s="8">
        <v>18.86</v>
      </c>
      <c r="G11" s="12">
        <v>1141</v>
      </c>
      <c r="H11" s="8">
        <v>22.14</v>
      </c>
      <c r="I11" s="12">
        <v>1</v>
      </c>
    </row>
    <row r="12" spans="2:9" ht="15" customHeight="1" x14ac:dyDescent="0.2">
      <c r="B12" t="s">
        <v>72</v>
      </c>
      <c r="C12" s="12">
        <v>40</v>
      </c>
      <c r="D12" s="8">
        <v>0.54</v>
      </c>
      <c r="E12" s="12">
        <v>2</v>
      </c>
      <c r="F12" s="8">
        <v>0.09</v>
      </c>
      <c r="G12" s="12">
        <v>38</v>
      </c>
      <c r="H12" s="8">
        <v>0.74</v>
      </c>
      <c r="I12" s="12">
        <v>0</v>
      </c>
    </row>
    <row r="13" spans="2:9" ht="15" customHeight="1" x14ac:dyDescent="0.2">
      <c r="B13" t="s">
        <v>73</v>
      </c>
      <c r="C13" s="12">
        <v>1368</v>
      </c>
      <c r="D13" s="8">
        <v>18.559999999999999</v>
      </c>
      <c r="E13" s="12">
        <v>268</v>
      </c>
      <c r="F13" s="8">
        <v>12.18</v>
      </c>
      <c r="G13" s="12">
        <v>1099</v>
      </c>
      <c r="H13" s="8">
        <v>21.33</v>
      </c>
      <c r="I13" s="12">
        <v>0</v>
      </c>
    </row>
    <row r="14" spans="2:9" ht="15" customHeight="1" x14ac:dyDescent="0.2">
      <c r="B14" t="s">
        <v>74</v>
      </c>
      <c r="C14" s="12">
        <v>776</v>
      </c>
      <c r="D14" s="8">
        <v>10.53</v>
      </c>
      <c r="E14" s="12">
        <v>164</v>
      </c>
      <c r="F14" s="8">
        <v>7.45</v>
      </c>
      <c r="G14" s="12">
        <v>612</v>
      </c>
      <c r="H14" s="8">
        <v>11.88</v>
      </c>
      <c r="I14" s="12">
        <v>0</v>
      </c>
    </row>
    <row r="15" spans="2:9" ht="15" customHeight="1" x14ac:dyDescent="0.2">
      <c r="B15" t="s">
        <v>75</v>
      </c>
      <c r="C15" s="12">
        <v>824</v>
      </c>
      <c r="D15" s="8">
        <v>11.18</v>
      </c>
      <c r="E15" s="12">
        <v>502</v>
      </c>
      <c r="F15" s="8">
        <v>22.81</v>
      </c>
      <c r="G15" s="12">
        <v>319</v>
      </c>
      <c r="H15" s="8">
        <v>6.19</v>
      </c>
      <c r="I15" s="12">
        <v>1</v>
      </c>
    </row>
    <row r="16" spans="2:9" ht="15" customHeight="1" x14ac:dyDescent="0.2">
      <c r="B16" t="s">
        <v>76</v>
      </c>
      <c r="C16" s="12">
        <v>797</v>
      </c>
      <c r="D16" s="8">
        <v>10.81</v>
      </c>
      <c r="E16" s="12">
        <v>387</v>
      </c>
      <c r="F16" s="8">
        <v>17.579999999999998</v>
      </c>
      <c r="G16" s="12">
        <v>409</v>
      </c>
      <c r="H16" s="8">
        <v>7.94</v>
      </c>
      <c r="I16" s="12">
        <v>1</v>
      </c>
    </row>
    <row r="17" spans="2:9" ht="15" customHeight="1" x14ac:dyDescent="0.2">
      <c r="B17" t="s">
        <v>77</v>
      </c>
      <c r="C17" s="12">
        <v>222</v>
      </c>
      <c r="D17" s="8">
        <v>3.01</v>
      </c>
      <c r="E17" s="12">
        <v>78</v>
      </c>
      <c r="F17" s="8">
        <v>3.54</v>
      </c>
      <c r="G17" s="12">
        <v>139</v>
      </c>
      <c r="H17" s="8">
        <v>2.7</v>
      </c>
      <c r="I17" s="12">
        <v>3</v>
      </c>
    </row>
    <row r="18" spans="2:9" ht="15" customHeight="1" x14ac:dyDescent="0.2">
      <c r="B18" t="s">
        <v>78</v>
      </c>
      <c r="C18" s="12">
        <v>375</v>
      </c>
      <c r="D18" s="8">
        <v>5.09</v>
      </c>
      <c r="E18" s="12">
        <v>241</v>
      </c>
      <c r="F18" s="8">
        <v>10.95</v>
      </c>
      <c r="G18" s="12">
        <v>128</v>
      </c>
      <c r="H18" s="8">
        <v>2.48</v>
      </c>
      <c r="I18" s="12">
        <v>0</v>
      </c>
    </row>
    <row r="19" spans="2:9" ht="15" customHeight="1" x14ac:dyDescent="0.2">
      <c r="B19" t="s">
        <v>79</v>
      </c>
      <c r="C19" s="12">
        <v>251</v>
      </c>
      <c r="D19" s="8">
        <v>3.4</v>
      </c>
      <c r="E19" s="12">
        <v>25</v>
      </c>
      <c r="F19" s="8">
        <v>1.1399999999999999</v>
      </c>
      <c r="G19" s="12">
        <v>225</v>
      </c>
      <c r="H19" s="8">
        <v>4.37</v>
      </c>
      <c r="I19" s="12">
        <v>0</v>
      </c>
    </row>
    <row r="20" spans="2:9" ht="15" customHeight="1" x14ac:dyDescent="0.2">
      <c r="B20" s="9" t="s">
        <v>280</v>
      </c>
      <c r="C20" s="12">
        <f>SUM(LTBL_13110[総数／事業所数])</f>
        <v>7372</v>
      </c>
      <c r="E20" s="12">
        <f>SUBTOTAL(109,LTBL_13110[個人／事業所数])</f>
        <v>2201</v>
      </c>
      <c r="G20" s="12">
        <f>SUBTOTAL(109,LTBL_13110[法人／事業所数])</f>
        <v>5153</v>
      </c>
      <c r="I20" s="12">
        <f>SUBTOTAL(109,LTBL_13110[法人以外の団体／事業所数])</f>
        <v>6</v>
      </c>
    </row>
    <row r="21" spans="2:9" ht="15" customHeight="1" x14ac:dyDescent="0.2">
      <c r="E21" s="11">
        <f>LTBL_13110[[#Totals],[個人／事業所数]]/LTBL_13110[[#Totals],[総数／事業所数]]</f>
        <v>0.29856212696690176</v>
      </c>
      <c r="G21" s="11">
        <f>LTBL_13110[[#Totals],[法人／事業所数]]/LTBL_13110[[#Totals],[総数／事業所数]]</f>
        <v>0.69899620184481825</v>
      </c>
      <c r="I21" s="11">
        <f>LTBL_13110[[#Totals],[法人以外の団体／事業所数]]/LTBL_13110[[#Totals],[総数／事業所数]]</f>
        <v>8.1389039609332605E-4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1148</v>
      </c>
      <c r="D24" s="8">
        <v>15.57</v>
      </c>
      <c r="E24" s="12">
        <v>253</v>
      </c>
      <c r="F24" s="8">
        <v>11.49</v>
      </c>
      <c r="G24" s="12">
        <v>894</v>
      </c>
      <c r="H24" s="8">
        <v>17.350000000000001</v>
      </c>
      <c r="I24" s="12">
        <v>0</v>
      </c>
    </row>
    <row r="25" spans="2:9" ht="15" customHeight="1" x14ac:dyDescent="0.2">
      <c r="B25" t="s">
        <v>103</v>
      </c>
      <c r="C25" s="12">
        <v>781</v>
      </c>
      <c r="D25" s="8">
        <v>10.59</v>
      </c>
      <c r="E25" s="12">
        <v>497</v>
      </c>
      <c r="F25" s="8">
        <v>22.58</v>
      </c>
      <c r="G25" s="12">
        <v>283</v>
      </c>
      <c r="H25" s="8">
        <v>5.49</v>
      </c>
      <c r="I25" s="12">
        <v>1</v>
      </c>
    </row>
    <row r="26" spans="2:9" ht="15" customHeight="1" x14ac:dyDescent="0.2">
      <c r="B26" t="s">
        <v>104</v>
      </c>
      <c r="C26" s="12">
        <v>576</v>
      </c>
      <c r="D26" s="8">
        <v>7.81</v>
      </c>
      <c r="E26" s="12">
        <v>351</v>
      </c>
      <c r="F26" s="8">
        <v>15.95</v>
      </c>
      <c r="G26" s="12">
        <v>225</v>
      </c>
      <c r="H26" s="8">
        <v>4.37</v>
      </c>
      <c r="I26" s="12">
        <v>0</v>
      </c>
    </row>
    <row r="27" spans="2:9" ht="15" customHeight="1" x14ac:dyDescent="0.2">
      <c r="B27" t="s">
        <v>101</v>
      </c>
      <c r="C27" s="12">
        <v>534</v>
      </c>
      <c r="D27" s="8">
        <v>7.24</v>
      </c>
      <c r="E27" s="12">
        <v>130</v>
      </c>
      <c r="F27" s="8">
        <v>5.91</v>
      </c>
      <c r="G27" s="12">
        <v>404</v>
      </c>
      <c r="H27" s="8">
        <v>7.84</v>
      </c>
      <c r="I27" s="12">
        <v>0</v>
      </c>
    </row>
    <row r="28" spans="2:9" ht="15" customHeight="1" x14ac:dyDescent="0.2">
      <c r="B28" t="s">
        <v>98</v>
      </c>
      <c r="C28" s="12">
        <v>426</v>
      </c>
      <c r="D28" s="8">
        <v>5.78</v>
      </c>
      <c r="E28" s="12">
        <v>149</v>
      </c>
      <c r="F28" s="8">
        <v>6.77</v>
      </c>
      <c r="G28" s="12">
        <v>277</v>
      </c>
      <c r="H28" s="8">
        <v>5.38</v>
      </c>
      <c r="I28" s="12">
        <v>0</v>
      </c>
    </row>
    <row r="29" spans="2:9" ht="15" customHeight="1" x14ac:dyDescent="0.2">
      <c r="B29" t="s">
        <v>95</v>
      </c>
      <c r="C29" s="12">
        <v>315</v>
      </c>
      <c r="D29" s="8">
        <v>4.2699999999999996</v>
      </c>
      <c r="E29" s="12">
        <v>103</v>
      </c>
      <c r="F29" s="8">
        <v>4.68</v>
      </c>
      <c r="G29" s="12">
        <v>212</v>
      </c>
      <c r="H29" s="8">
        <v>4.1100000000000003</v>
      </c>
      <c r="I29" s="12">
        <v>0</v>
      </c>
    </row>
    <row r="30" spans="2:9" ht="15" customHeight="1" x14ac:dyDescent="0.2">
      <c r="B30" t="s">
        <v>106</v>
      </c>
      <c r="C30" s="12">
        <v>312</v>
      </c>
      <c r="D30" s="8">
        <v>4.2300000000000004</v>
      </c>
      <c r="E30" s="12">
        <v>241</v>
      </c>
      <c r="F30" s="8">
        <v>10.95</v>
      </c>
      <c r="G30" s="12">
        <v>71</v>
      </c>
      <c r="H30" s="8">
        <v>1.38</v>
      </c>
      <c r="I30" s="12">
        <v>0</v>
      </c>
    </row>
    <row r="31" spans="2:9" ht="15" customHeight="1" x14ac:dyDescent="0.2">
      <c r="B31" t="s">
        <v>96</v>
      </c>
      <c r="C31" s="12">
        <v>231</v>
      </c>
      <c r="D31" s="8">
        <v>3.13</v>
      </c>
      <c r="E31" s="12">
        <v>108</v>
      </c>
      <c r="F31" s="8">
        <v>4.91</v>
      </c>
      <c r="G31" s="12">
        <v>123</v>
      </c>
      <c r="H31" s="8">
        <v>2.39</v>
      </c>
      <c r="I31" s="12">
        <v>0</v>
      </c>
    </row>
    <row r="32" spans="2:9" ht="15" customHeight="1" x14ac:dyDescent="0.2">
      <c r="B32" t="s">
        <v>105</v>
      </c>
      <c r="C32" s="12">
        <v>222</v>
      </c>
      <c r="D32" s="8">
        <v>3.01</v>
      </c>
      <c r="E32" s="12">
        <v>78</v>
      </c>
      <c r="F32" s="8">
        <v>3.54</v>
      </c>
      <c r="G32" s="12">
        <v>139</v>
      </c>
      <c r="H32" s="8">
        <v>2.7</v>
      </c>
      <c r="I32" s="12">
        <v>3</v>
      </c>
    </row>
    <row r="33" spans="2:9" ht="15" customHeight="1" x14ac:dyDescent="0.2">
      <c r="B33" t="s">
        <v>102</v>
      </c>
      <c r="C33" s="12">
        <v>201</v>
      </c>
      <c r="D33" s="8">
        <v>2.73</v>
      </c>
      <c r="E33" s="12">
        <v>33</v>
      </c>
      <c r="F33" s="8">
        <v>1.5</v>
      </c>
      <c r="G33" s="12">
        <v>168</v>
      </c>
      <c r="H33" s="8">
        <v>3.26</v>
      </c>
      <c r="I33" s="12">
        <v>0</v>
      </c>
    </row>
    <row r="34" spans="2:9" ht="15" customHeight="1" x14ac:dyDescent="0.2">
      <c r="B34" t="s">
        <v>99</v>
      </c>
      <c r="C34" s="12">
        <v>197</v>
      </c>
      <c r="D34" s="8">
        <v>2.67</v>
      </c>
      <c r="E34" s="12">
        <v>15</v>
      </c>
      <c r="F34" s="8">
        <v>0.68</v>
      </c>
      <c r="G34" s="12">
        <v>182</v>
      </c>
      <c r="H34" s="8">
        <v>3.53</v>
      </c>
      <c r="I34" s="12">
        <v>0</v>
      </c>
    </row>
    <row r="35" spans="2:9" ht="15" customHeight="1" x14ac:dyDescent="0.2">
      <c r="B35" t="s">
        <v>107</v>
      </c>
      <c r="C35" s="12">
        <v>166</v>
      </c>
      <c r="D35" s="8">
        <v>2.25</v>
      </c>
      <c r="E35" s="12">
        <v>4</v>
      </c>
      <c r="F35" s="8">
        <v>0.18</v>
      </c>
      <c r="G35" s="12">
        <v>162</v>
      </c>
      <c r="H35" s="8">
        <v>3.14</v>
      </c>
      <c r="I35" s="12">
        <v>0</v>
      </c>
    </row>
    <row r="36" spans="2:9" ht="15" customHeight="1" x14ac:dyDescent="0.2">
      <c r="B36" t="s">
        <v>92</v>
      </c>
      <c r="C36" s="12">
        <v>163</v>
      </c>
      <c r="D36" s="8">
        <v>2.21</v>
      </c>
      <c r="E36" s="12">
        <v>1</v>
      </c>
      <c r="F36" s="8">
        <v>0.05</v>
      </c>
      <c r="G36" s="12">
        <v>162</v>
      </c>
      <c r="H36" s="8">
        <v>3.14</v>
      </c>
      <c r="I36" s="12">
        <v>0</v>
      </c>
    </row>
    <row r="37" spans="2:9" ht="15" customHeight="1" x14ac:dyDescent="0.2">
      <c r="B37" t="s">
        <v>89</v>
      </c>
      <c r="C37" s="12">
        <v>146</v>
      </c>
      <c r="D37" s="8">
        <v>1.98</v>
      </c>
      <c r="E37" s="12">
        <v>23</v>
      </c>
      <c r="F37" s="8">
        <v>1.04</v>
      </c>
      <c r="G37" s="12">
        <v>123</v>
      </c>
      <c r="H37" s="8">
        <v>2.39</v>
      </c>
      <c r="I37" s="12">
        <v>0</v>
      </c>
    </row>
    <row r="38" spans="2:9" ht="15" customHeight="1" x14ac:dyDescent="0.2">
      <c r="B38" t="s">
        <v>88</v>
      </c>
      <c r="C38" s="12">
        <v>141</v>
      </c>
      <c r="D38" s="8">
        <v>1.91</v>
      </c>
      <c r="E38" s="12">
        <v>15</v>
      </c>
      <c r="F38" s="8">
        <v>0.68</v>
      </c>
      <c r="G38" s="12">
        <v>126</v>
      </c>
      <c r="H38" s="8">
        <v>2.4500000000000002</v>
      </c>
      <c r="I38" s="12">
        <v>0</v>
      </c>
    </row>
    <row r="39" spans="2:9" ht="15" customHeight="1" x14ac:dyDescent="0.2">
      <c r="B39" t="s">
        <v>90</v>
      </c>
      <c r="C39" s="12">
        <v>125</v>
      </c>
      <c r="D39" s="8">
        <v>1.7</v>
      </c>
      <c r="E39" s="12">
        <v>15</v>
      </c>
      <c r="F39" s="8">
        <v>0.68</v>
      </c>
      <c r="G39" s="12">
        <v>110</v>
      </c>
      <c r="H39" s="8">
        <v>2.13</v>
      </c>
      <c r="I39" s="12">
        <v>0</v>
      </c>
    </row>
    <row r="40" spans="2:9" ht="15" customHeight="1" x14ac:dyDescent="0.2">
      <c r="B40" t="s">
        <v>94</v>
      </c>
      <c r="C40" s="12">
        <v>115</v>
      </c>
      <c r="D40" s="8">
        <v>1.56</v>
      </c>
      <c r="E40" s="12">
        <v>6</v>
      </c>
      <c r="F40" s="8">
        <v>0.27</v>
      </c>
      <c r="G40" s="12">
        <v>109</v>
      </c>
      <c r="H40" s="8">
        <v>2.12</v>
      </c>
      <c r="I40" s="12">
        <v>0</v>
      </c>
    </row>
    <row r="41" spans="2:9" ht="15" customHeight="1" x14ac:dyDescent="0.2">
      <c r="B41" t="s">
        <v>114</v>
      </c>
      <c r="C41" s="12">
        <v>113</v>
      </c>
      <c r="D41" s="8">
        <v>1.53</v>
      </c>
      <c r="E41" s="12">
        <v>7</v>
      </c>
      <c r="F41" s="8">
        <v>0.32</v>
      </c>
      <c r="G41" s="12">
        <v>105</v>
      </c>
      <c r="H41" s="8">
        <v>2.04</v>
      </c>
      <c r="I41" s="12">
        <v>1</v>
      </c>
    </row>
    <row r="42" spans="2:9" ht="15" customHeight="1" x14ac:dyDescent="0.2">
      <c r="B42" t="s">
        <v>91</v>
      </c>
      <c r="C42" s="12">
        <v>111</v>
      </c>
      <c r="D42" s="8">
        <v>1.51</v>
      </c>
      <c r="E42" s="12">
        <v>2</v>
      </c>
      <c r="F42" s="8">
        <v>0.09</v>
      </c>
      <c r="G42" s="12">
        <v>109</v>
      </c>
      <c r="H42" s="8">
        <v>2.12</v>
      </c>
      <c r="I42" s="12">
        <v>0</v>
      </c>
    </row>
    <row r="43" spans="2:9" ht="15" customHeight="1" x14ac:dyDescent="0.2">
      <c r="B43" t="s">
        <v>115</v>
      </c>
      <c r="C43" s="12">
        <v>108</v>
      </c>
      <c r="D43" s="8">
        <v>1.47</v>
      </c>
      <c r="E43" s="12">
        <v>29</v>
      </c>
      <c r="F43" s="8">
        <v>1.32</v>
      </c>
      <c r="G43" s="12">
        <v>79</v>
      </c>
      <c r="H43" s="8">
        <v>1.53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671</v>
      </c>
      <c r="D47" s="8">
        <v>9.1</v>
      </c>
      <c r="E47" s="12">
        <v>219</v>
      </c>
      <c r="F47" s="8">
        <v>9.9499999999999993</v>
      </c>
      <c r="G47" s="12">
        <v>452</v>
      </c>
      <c r="H47" s="8">
        <v>8.77</v>
      </c>
      <c r="I47" s="12">
        <v>0</v>
      </c>
    </row>
    <row r="48" spans="2:9" ht="15" customHeight="1" x14ac:dyDescent="0.2">
      <c r="B48" t="s">
        <v>172</v>
      </c>
      <c r="C48" s="12">
        <v>310</v>
      </c>
      <c r="D48" s="8">
        <v>4.21</v>
      </c>
      <c r="E48" s="12">
        <v>215</v>
      </c>
      <c r="F48" s="8">
        <v>9.77</v>
      </c>
      <c r="G48" s="12">
        <v>95</v>
      </c>
      <c r="H48" s="8">
        <v>1.84</v>
      </c>
      <c r="I48" s="12">
        <v>0</v>
      </c>
    </row>
    <row r="49" spans="2:9" ht="15" customHeight="1" x14ac:dyDescent="0.2">
      <c r="B49" t="s">
        <v>168</v>
      </c>
      <c r="C49" s="12">
        <v>306</v>
      </c>
      <c r="D49" s="8">
        <v>4.1500000000000004</v>
      </c>
      <c r="E49" s="12">
        <v>165</v>
      </c>
      <c r="F49" s="8">
        <v>7.5</v>
      </c>
      <c r="G49" s="12">
        <v>140</v>
      </c>
      <c r="H49" s="8">
        <v>2.72</v>
      </c>
      <c r="I49" s="12">
        <v>1</v>
      </c>
    </row>
    <row r="50" spans="2:9" ht="15" customHeight="1" x14ac:dyDescent="0.2">
      <c r="B50" t="s">
        <v>163</v>
      </c>
      <c r="C50" s="12">
        <v>249</v>
      </c>
      <c r="D50" s="8">
        <v>3.38</v>
      </c>
      <c r="E50" s="12">
        <v>6</v>
      </c>
      <c r="F50" s="8">
        <v>0.27</v>
      </c>
      <c r="G50" s="12">
        <v>242</v>
      </c>
      <c r="H50" s="8">
        <v>4.7</v>
      </c>
      <c r="I50" s="12">
        <v>0</v>
      </c>
    </row>
    <row r="51" spans="2:9" ht="15" customHeight="1" x14ac:dyDescent="0.2">
      <c r="B51" t="s">
        <v>161</v>
      </c>
      <c r="C51" s="12">
        <v>200</v>
      </c>
      <c r="D51" s="8">
        <v>2.71</v>
      </c>
      <c r="E51" s="12">
        <v>23</v>
      </c>
      <c r="F51" s="8">
        <v>1.04</v>
      </c>
      <c r="G51" s="12">
        <v>177</v>
      </c>
      <c r="H51" s="8">
        <v>3.43</v>
      </c>
      <c r="I51" s="12">
        <v>0</v>
      </c>
    </row>
    <row r="52" spans="2:9" ht="15" customHeight="1" x14ac:dyDescent="0.2">
      <c r="B52" t="s">
        <v>159</v>
      </c>
      <c r="C52" s="12">
        <v>197</v>
      </c>
      <c r="D52" s="8">
        <v>2.67</v>
      </c>
      <c r="E52" s="12">
        <v>87</v>
      </c>
      <c r="F52" s="8">
        <v>3.95</v>
      </c>
      <c r="G52" s="12">
        <v>110</v>
      </c>
      <c r="H52" s="8">
        <v>2.13</v>
      </c>
      <c r="I52" s="12">
        <v>0</v>
      </c>
    </row>
    <row r="53" spans="2:9" ht="15" customHeight="1" x14ac:dyDescent="0.2">
      <c r="B53" t="s">
        <v>175</v>
      </c>
      <c r="C53" s="12">
        <v>169</v>
      </c>
      <c r="D53" s="8">
        <v>2.29</v>
      </c>
      <c r="E53" s="12">
        <v>122</v>
      </c>
      <c r="F53" s="8">
        <v>5.54</v>
      </c>
      <c r="G53" s="12">
        <v>47</v>
      </c>
      <c r="H53" s="8">
        <v>0.91</v>
      </c>
      <c r="I53" s="12">
        <v>0</v>
      </c>
    </row>
    <row r="54" spans="2:9" ht="15" customHeight="1" x14ac:dyDescent="0.2">
      <c r="B54" t="s">
        <v>199</v>
      </c>
      <c r="C54" s="12">
        <v>161</v>
      </c>
      <c r="D54" s="8">
        <v>2.1800000000000002</v>
      </c>
      <c r="E54" s="12">
        <v>44</v>
      </c>
      <c r="F54" s="8">
        <v>2</v>
      </c>
      <c r="G54" s="12">
        <v>117</v>
      </c>
      <c r="H54" s="8">
        <v>2.27</v>
      </c>
      <c r="I54" s="12">
        <v>0</v>
      </c>
    </row>
    <row r="55" spans="2:9" ht="15" customHeight="1" x14ac:dyDescent="0.2">
      <c r="B55" t="s">
        <v>166</v>
      </c>
      <c r="C55" s="12">
        <v>156</v>
      </c>
      <c r="D55" s="8">
        <v>2.12</v>
      </c>
      <c r="E55" s="12">
        <v>9</v>
      </c>
      <c r="F55" s="8">
        <v>0.41</v>
      </c>
      <c r="G55" s="12">
        <v>147</v>
      </c>
      <c r="H55" s="8">
        <v>2.85</v>
      </c>
      <c r="I55" s="12">
        <v>0</v>
      </c>
    </row>
    <row r="56" spans="2:9" ht="15" customHeight="1" x14ac:dyDescent="0.2">
      <c r="B56" t="s">
        <v>160</v>
      </c>
      <c r="C56" s="12">
        <v>153</v>
      </c>
      <c r="D56" s="8">
        <v>2.08</v>
      </c>
      <c r="E56" s="12">
        <v>14</v>
      </c>
      <c r="F56" s="8">
        <v>0.64</v>
      </c>
      <c r="G56" s="12">
        <v>139</v>
      </c>
      <c r="H56" s="8">
        <v>2.7</v>
      </c>
      <c r="I56" s="12">
        <v>0</v>
      </c>
    </row>
    <row r="57" spans="2:9" ht="15" customHeight="1" x14ac:dyDescent="0.2">
      <c r="B57" t="s">
        <v>165</v>
      </c>
      <c r="C57" s="12">
        <v>148</v>
      </c>
      <c r="D57" s="8">
        <v>2.0099999999999998</v>
      </c>
      <c r="E57" s="12">
        <v>3</v>
      </c>
      <c r="F57" s="8">
        <v>0.14000000000000001</v>
      </c>
      <c r="G57" s="12">
        <v>145</v>
      </c>
      <c r="H57" s="8">
        <v>2.81</v>
      </c>
      <c r="I57" s="12">
        <v>0</v>
      </c>
    </row>
    <row r="58" spans="2:9" ht="15" customHeight="1" x14ac:dyDescent="0.2">
      <c r="B58" t="s">
        <v>173</v>
      </c>
      <c r="C58" s="12">
        <v>148</v>
      </c>
      <c r="D58" s="8">
        <v>2.0099999999999998</v>
      </c>
      <c r="E58" s="12">
        <v>64</v>
      </c>
      <c r="F58" s="8">
        <v>2.91</v>
      </c>
      <c r="G58" s="12">
        <v>82</v>
      </c>
      <c r="H58" s="8">
        <v>1.59</v>
      </c>
      <c r="I58" s="12">
        <v>2</v>
      </c>
    </row>
    <row r="59" spans="2:9" ht="15" customHeight="1" x14ac:dyDescent="0.2">
      <c r="B59" t="s">
        <v>169</v>
      </c>
      <c r="C59" s="12">
        <v>141</v>
      </c>
      <c r="D59" s="8">
        <v>1.91</v>
      </c>
      <c r="E59" s="12">
        <v>110</v>
      </c>
      <c r="F59" s="8">
        <v>5</v>
      </c>
      <c r="G59" s="12">
        <v>31</v>
      </c>
      <c r="H59" s="8">
        <v>0.6</v>
      </c>
      <c r="I59" s="12">
        <v>0</v>
      </c>
    </row>
    <row r="60" spans="2:9" ht="15" customHeight="1" x14ac:dyDescent="0.2">
      <c r="B60" t="s">
        <v>167</v>
      </c>
      <c r="C60" s="12">
        <v>134</v>
      </c>
      <c r="D60" s="8">
        <v>1.82</v>
      </c>
      <c r="E60" s="12">
        <v>21</v>
      </c>
      <c r="F60" s="8">
        <v>0.95</v>
      </c>
      <c r="G60" s="12">
        <v>113</v>
      </c>
      <c r="H60" s="8">
        <v>2.19</v>
      </c>
      <c r="I60" s="12">
        <v>0</v>
      </c>
    </row>
    <row r="61" spans="2:9" ht="15" customHeight="1" x14ac:dyDescent="0.2">
      <c r="B61" t="s">
        <v>174</v>
      </c>
      <c r="C61" s="12">
        <v>127</v>
      </c>
      <c r="D61" s="8">
        <v>1.72</v>
      </c>
      <c r="E61" s="12">
        <v>117</v>
      </c>
      <c r="F61" s="8">
        <v>5.32</v>
      </c>
      <c r="G61" s="12">
        <v>10</v>
      </c>
      <c r="H61" s="8">
        <v>0.19</v>
      </c>
      <c r="I61" s="12">
        <v>0</v>
      </c>
    </row>
    <row r="62" spans="2:9" ht="15" customHeight="1" x14ac:dyDescent="0.2">
      <c r="B62" t="s">
        <v>176</v>
      </c>
      <c r="C62" s="12">
        <v>127</v>
      </c>
      <c r="D62" s="8">
        <v>1.72</v>
      </c>
      <c r="E62" s="12">
        <v>3</v>
      </c>
      <c r="F62" s="8">
        <v>0.14000000000000001</v>
      </c>
      <c r="G62" s="12">
        <v>124</v>
      </c>
      <c r="H62" s="8">
        <v>2.41</v>
      </c>
      <c r="I62" s="12">
        <v>0</v>
      </c>
    </row>
    <row r="63" spans="2:9" ht="15" customHeight="1" x14ac:dyDescent="0.2">
      <c r="B63" t="s">
        <v>170</v>
      </c>
      <c r="C63" s="12">
        <v>124</v>
      </c>
      <c r="D63" s="8">
        <v>1.68</v>
      </c>
      <c r="E63" s="12">
        <v>99</v>
      </c>
      <c r="F63" s="8">
        <v>4.5</v>
      </c>
      <c r="G63" s="12">
        <v>25</v>
      </c>
      <c r="H63" s="8">
        <v>0.49</v>
      </c>
      <c r="I63" s="12">
        <v>0</v>
      </c>
    </row>
    <row r="64" spans="2:9" ht="15" customHeight="1" x14ac:dyDescent="0.2">
      <c r="B64" t="s">
        <v>187</v>
      </c>
      <c r="C64" s="12">
        <v>115</v>
      </c>
      <c r="D64" s="8">
        <v>1.56</v>
      </c>
      <c r="E64" s="12">
        <v>12</v>
      </c>
      <c r="F64" s="8">
        <v>0.55000000000000004</v>
      </c>
      <c r="G64" s="12">
        <v>103</v>
      </c>
      <c r="H64" s="8">
        <v>2</v>
      </c>
      <c r="I64" s="12">
        <v>0</v>
      </c>
    </row>
    <row r="65" spans="2:9" ht="15" customHeight="1" x14ac:dyDescent="0.2">
      <c r="B65" t="s">
        <v>158</v>
      </c>
      <c r="C65" s="12">
        <v>101</v>
      </c>
      <c r="D65" s="8">
        <v>1.37</v>
      </c>
      <c r="E65" s="12">
        <v>42</v>
      </c>
      <c r="F65" s="8">
        <v>1.91</v>
      </c>
      <c r="G65" s="12">
        <v>59</v>
      </c>
      <c r="H65" s="8">
        <v>1.1399999999999999</v>
      </c>
      <c r="I65" s="12">
        <v>0</v>
      </c>
    </row>
    <row r="66" spans="2:9" ht="15" customHeight="1" x14ac:dyDescent="0.2">
      <c r="B66" t="s">
        <v>157</v>
      </c>
      <c r="C66" s="12">
        <v>90</v>
      </c>
      <c r="D66" s="8">
        <v>1.22</v>
      </c>
      <c r="E66" s="12">
        <v>2</v>
      </c>
      <c r="F66" s="8">
        <v>0.09</v>
      </c>
      <c r="G66" s="12">
        <v>88</v>
      </c>
      <c r="H66" s="8">
        <v>1.71</v>
      </c>
      <c r="I66" s="12">
        <v>0</v>
      </c>
    </row>
    <row r="67" spans="2:9" ht="15" customHeight="1" x14ac:dyDescent="0.2">
      <c r="B67" t="s">
        <v>197</v>
      </c>
      <c r="C67" s="12">
        <v>90</v>
      </c>
      <c r="D67" s="8">
        <v>1.22</v>
      </c>
      <c r="E67" s="12">
        <v>22</v>
      </c>
      <c r="F67" s="8">
        <v>1</v>
      </c>
      <c r="G67" s="12">
        <v>68</v>
      </c>
      <c r="H67" s="8">
        <v>1.32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17D5-1F3F-4282-8589-FABB778C6DF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1733</v>
      </c>
      <c r="D6" s="8">
        <v>10.17</v>
      </c>
      <c r="E6" s="12">
        <v>224</v>
      </c>
      <c r="F6" s="8">
        <v>3.8</v>
      </c>
      <c r="G6" s="12">
        <v>1509</v>
      </c>
      <c r="H6" s="8">
        <v>13.55</v>
      </c>
      <c r="I6" s="12">
        <v>0</v>
      </c>
    </row>
    <row r="7" spans="2:9" ht="15" customHeight="1" x14ac:dyDescent="0.2">
      <c r="B7" t="s">
        <v>67</v>
      </c>
      <c r="C7" s="12">
        <v>2800</v>
      </c>
      <c r="D7" s="8">
        <v>16.440000000000001</v>
      </c>
      <c r="E7" s="12">
        <v>515</v>
      </c>
      <c r="F7" s="8">
        <v>8.75</v>
      </c>
      <c r="G7" s="12">
        <v>2285</v>
      </c>
      <c r="H7" s="8">
        <v>20.52</v>
      </c>
      <c r="I7" s="12">
        <v>0</v>
      </c>
    </row>
    <row r="8" spans="2:9" ht="15" customHeight="1" x14ac:dyDescent="0.2">
      <c r="B8" t="s">
        <v>68</v>
      </c>
      <c r="C8" s="12">
        <v>11</v>
      </c>
      <c r="D8" s="8">
        <v>0.06</v>
      </c>
      <c r="E8" s="12">
        <v>0</v>
      </c>
      <c r="F8" s="8">
        <v>0</v>
      </c>
      <c r="G8" s="12">
        <v>10</v>
      </c>
      <c r="H8" s="8">
        <v>0.09</v>
      </c>
      <c r="I8" s="12">
        <v>0</v>
      </c>
    </row>
    <row r="9" spans="2:9" ht="15" customHeight="1" x14ac:dyDescent="0.2">
      <c r="B9" t="s">
        <v>69</v>
      </c>
      <c r="C9" s="12">
        <v>327</v>
      </c>
      <c r="D9" s="8">
        <v>1.92</v>
      </c>
      <c r="E9" s="12">
        <v>10</v>
      </c>
      <c r="F9" s="8">
        <v>0.17</v>
      </c>
      <c r="G9" s="12">
        <v>317</v>
      </c>
      <c r="H9" s="8">
        <v>2.85</v>
      </c>
      <c r="I9" s="12">
        <v>0</v>
      </c>
    </row>
    <row r="10" spans="2:9" ht="15" customHeight="1" x14ac:dyDescent="0.2">
      <c r="B10" t="s">
        <v>70</v>
      </c>
      <c r="C10" s="12">
        <v>385</v>
      </c>
      <c r="D10" s="8">
        <v>2.2599999999999998</v>
      </c>
      <c r="E10" s="12">
        <v>114</v>
      </c>
      <c r="F10" s="8">
        <v>1.94</v>
      </c>
      <c r="G10" s="12">
        <v>271</v>
      </c>
      <c r="H10" s="8">
        <v>2.4300000000000002</v>
      </c>
      <c r="I10" s="12">
        <v>0</v>
      </c>
    </row>
    <row r="11" spans="2:9" ht="15" customHeight="1" x14ac:dyDescent="0.2">
      <c r="B11" t="s">
        <v>71</v>
      </c>
      <c r="C11" s="12">
        <v>3220</v>
      </c>
      <c r="D11" s="8">
        <v>18.899999999999999</v>
      </c>
      <c r="E11" s="12">
        <v>973</v>
      </c>
      <c r="F11" s="8">
        <v>16.53</v>
      </c>
      <c r="G11" s="12">
        <v>2247</v>
      </c>
      <c r="H11" s="8">
        <v>20.18</v>
      </c>
      <c r="I11" s="12">
        <v>0</v>
      </c>
    </row>
    <row r="12" spans="2:9" ht="15" customHeight="1" x14ac:dyDescent="0.2">
      <c r="B12" t="s">
        <v>72</v>
      </c>
      <c r="C12" s="12">
        <v>68</v>
      </c>
      <c r="D12" s="8">
        <v>0.4</v>
      </c>
      <c r="E12" s="12">
        <v>2</v>
      </c>
      <c r="F12" s="8">
        <v>0.03</v>
      </c>
      <c r="G12" s="12">
        <v>66</v>
      </c>
      <c r="H12" s="8">
        <v>0.59</v>
      </c>
      <c r="I12" s="12">
        <v>0</v>
      </c>
    </row>
    <row r="13" spans="2:9" ht="15" customHeight="1" x14ac:dyDescent="0.2">
      <c r="B13" t="s">
        <v>73</v>
      </c>
      <c r="C13" s="12">
        <v>2633</v>
      </c>
      <c r="D13" s="8">
        <v>15.46</v>
      </c>
      <c r="E13" s="12">
        <v>775</v>
      </c>
      <c r="F13" s="8">
        <v>13.16</v>
      </c>
      <c r="G13" s="12">
        <v>1855</v>
      </c>
      <c r="H13" s="8">
        <v>16.66</v>
      </c>
      <c r="I13" s="12">
        <v>3</v>
      </c>
    </row>
    <row r="14" spans="2:9" ht="15" customHeight="1" x14ac:dyDescent="0.2">
      <c r="B14" t="s">
        <v>74</v>
      </c>
      <c r="C14" s="12">
        <v>931</v>
      </c>
      <c r="D14" s="8">
        <v>5.46</v>
      </c>
      <c r="E14" s="12">
        <v>287</v>
      </c>
      <c r="F14" s="8">
        <v>4.88</v>
      </c>
      <c r="G14" s="12">
        <v>644</v>
      </c>
      <c r="H14" s="8">
        <v>5.78</v>
      </c>
      <c r="I14" s="12">
        <v>0</v>
      </c>
    </row>
    <row r="15" spans="2:9" ht="15" customHeight="1" x14ac:dyDescent="0.2">
      <c r="B15" t="s">
        <v>75</v>
      </c>
      <c r="C15" s="12">
        <v>1909</v>
      </c>
      <c r="D15" s="8">
        <v>11.21</v>
      </c>
      <c r="E15" s="12">
        <v>1366</v>
      </c>
      <c r="F15" s="8">
        <v>23.2</v>
      </c>
      <c r="G15" s="12">
        <v>543</v>
      </c>
      <c r="H15" s="8">
        <v>4.88</v>
      </c>
      <c r="I15" s="12">
        <v>0</v>
      </c>
    </row>
    <row r="16" spans="2:9" ht="15" customHeight="1" x14ac:dyDescent="0.2">
      <c r="B16" t="s">
        <v>76</v>
      </c>
      <c r="C16" s="12">
        <v>1409</v>
      </c>
      <c r="D16" s="8">
        <v>8.27</v>
      </c>
      <c r="E16" s="12">
        <v>875</v>
      </c>
      <c r="F16" s="8">
        <v>14.86</v>
      </c>
      <c r="G16" s="12">
        <v>533</v>
      </c>
      <c r="H16" s="8">
        <v>4.79</v>
      </c>
      <c r="I16" s="12">
        <v>0</v>
      </c>
    </row>
    <row r="17" spans="2:9" ht="15" customHeight="1" x14ac:dyDescent="0.2">
      <c r="B17" t="s">
        <v>77</v>
      </c>
      <c r="C17" s="12">
        <v>367</v>
      </c>
      <c r="D17" s="8">
        <v>2.15</v>
      </c>
      <c r="E17" s="12">
        <v>202</v>
      </c>
      <c r="F17" s="8">
        <v>3.43</v>
      </c>
      <c r="G17" s="12">
        <v>164</v>
      </c>
      <c r="H17" s="8">
        <v>1.47</v>
      </c>
      <c r="I17" s="12">
        <v>1</v>
      </c>
    </row>
    <row r="18" spans="2:9" ht="15" customHeight="1" x14ac:dyDescent="0.2">
      <c r="B18" t="s">
        <v>78</v>
      </c>
      <c r="C18" s="12">
        <v>751</v>
      </c>
      <c r="D18" s="8">
        <v>4.41</v>
      </c>
      <c r="E18" s="12">
        <v>478</v>
      </c>
      <c r="F18" s="8">
        <v>8.1199999999999992</v>
      </c>
      <c r="G18" s="12">
        <v>272</v>
      </c>
      <c r="H18" s="8">
        <v>2.44</v>
      </c>
      <c r="I18" s="12">
        <v>0</v>
      </c>
    </row>
    <row r="19" spans="2:9" ht="15" customHeight="1" x14ac:dyDescent="0.2">
      <c r="B19" t="s">
        <v>79</v>
      </c>
      <c r="C19" s="12">
        <v>492</v>
      </c>
      <c r="D19" s="8">
        <v>2.89</v>
      </c>
      <c r="E19" s="12">
        <v>66</v>
      </c>
      <c r="F19" s="8">
        <v>1.1200000000000001</v>
      </c>
      <c r="G19" s="12">
        <v>417</v>
      </c>
      <c r="H19" s="8">
        <v>3.75</v>
      </c>
      <c r="I19" s="12">
        <v>1</v>
      </c>
    </row>
    <row r="20" spans="2:9" ht="15" customHeight="1" x14ac:dyDescent="0.2">
      <c r="B20" s="9" t="s">
        <v>280</v>
      </c>
      <c r="C20" s="12">
        <f>SUM(LTBL_13111[総数／事業所数])</f>
        <v>17036</v>
      </c>
      <c r="E20" s="12">
        <f>SUBTOTAL(109,LTBL_13111[個人／事業所数])</f>
        <v>5887</v>
      </c>
      <c r="G20" s="12">
        <f>SUBTOTAL(109,LTBL_13111[法人／事業所数])</f>
        <v>11133</v>
      </c>
      <c r="I20" s="12">
        <f>SUBTOTAL(109,LTBL_13111[法人以外の団体／事業所数])</f>
        <v>5</v>
      </c>
    </row>
    <row r="21" spans="2:9" ht="15" customHeight="1" x14ac:dyDescent="0.2">
      <c r="E21" s="11">
        <f>LTBL_13111[[#Totals],[個人／事業所数]]/LTBL_13111[[#Totals],[総数／事業所数]]</f>
        <v>0.34556233857713076</v>
      </c>
      <c r="G21" s="11">
        <f>LTBL_13111[[#Totals],[法人／事業所数]]/LTBL_13111[[#Totals],[総数／事業所数]]</f>
        <v>0.65349847382014559</v>
      </c>
      <c r="I21" s="11">
        <f>LTBL_13111[[#Totals],[法人以外の団体／事業所数]]/LTBL_13111[[#Totals],[総数／事業所数]]</f>
        <v>2.9349612585113878E-4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2256</v>
      </c>
      <c r="D24" s="8">
        <v>13.24</v>
      </c>
      <c r="E24" s="12">
        <v>751</v>
      </c>
      <c r="F24" s="8">
        <v>12.76</v>
      </c>
      <c r="G24" s="12">
        <v>1502</v>
      </c>
      <c r="H24" s="8">
        <v>13.49</v>
      </c>
      <c r="I24" s="12">
        <v>3</v>
      </c>
    </row>
    <row r="25" spans="2:9" ht="15" customHeight="1" x14ac:dyDescent="0.2">
      <c r="B25" t="s">
        <v>103</v>
      </c>
      <c r="C25" s="12">
        <v>1776</v>
      </c>
      <c r="D25" s="8">
        <v>10.42</v>
      </c>
      <c r="E25" s="12">
        <v>1331</v>
      </c>
      <c r="F25" s="8">
        <v>22.61</v>
      </c>
      <c r="G25" s="12">
        <v>445</v>
      </c>
      <c r="H25" s="8">
        <v>4</v>
      </c>
      <c r="I25" s="12">
        <v>0</v>
      </c>
    </row>
    <row r="26" spans="2:9" ht="15" customHeight="1" x14ac:dyDescent="0.2">
      <c r="B26" t="s">
        <v>104</v>
      </c>
      <c r="C26" s="12">
        <v>1129</v>
      </c>
      <c r="D26" s="8">
        <v>6.63</v>
      </c>
      <c r="E26" s="12">
        <v>792</v>
      </c>
      <c r="F26" s="8">
        <v>13.45</v>
      </c>
      <c r="G26" s="12">
        <v>337</v>
      </c>
      <c r="H26" s="8">
        <v>3.03</v>
      </c>
      <c r="I26" s="12">
        <v>0</v>
      </c>
    </row>
    <row r="27" spans="2:9" ht="15" customHeight="1" x14ac:dyDescent="0.2">
      <c r="B27" t="s">
        <v>98</v>
      </c>
      <c r="C27" s="12">
        <v>753</v>
      </c>
      <c r="D27" s="8">
        <v>4.42</v>
      </c>
      <c r="E27" s="12">
        <v>338</v>
      </c>
      <c r="F27" s="8">
        <v>5.74</v>
      </c>
      <c r="G27" s="12">
        <v>415</v>
      </c>
      <c r="H27" s="8">
        <v>3.73</v>
      </c>
      <c r="I27" s="12">
        <v>0</v>
      </c>
    </row>
    <row r="28" spans="2:9" ht="15" customHeight="1" x14ac:dyDescent="0.2">
      <c r="B28" t="s">
        <v>119</v>
      </c>
      <c r="C28" s="12">
        <v>658</v>
      </c>
      <c r="D28" s="8">
        <v>3.86</v>
      </c>
      <c r="E28" s="12">
        <v>135</v>
      </c>
      <c r="F28" s="8">
        <v>2.29</v>
      </c>
      <c r="G28" s="12">
        <v>523</v>
      </c>
      <c r="H28" s="8">
        <v>4.7</v>
      </c>
      <c r="I28" s="12">
        <v>0</v>
      </c>
    </row>
    <row r="29" spans="2:9" ht="15" customHeight="1" x14ac:dyDescent="0.2">
      <c r="B29" t="s">
        <v>96</v>
      </c>
      <c r="C29" s="12">
        <v>634</v>
      </c>
      <c r="D29" s="8">
        <v>3.72</v>
      </c>
      <c r="E29" s="12">
        <v>323</v>
      </c>
      <c r="F29" s="8">
        <v>5.49</v>
      </c>
      <c r="G29" s="12">
        <v>311</v>
      </c>
      <c r="H29" s="8">
        <v>2.79</v>
      </c>
      <c r="I29" s="12">
        <v>0</v>
      </c>
    </row>
    <row r="30" spans="2:9" ht="15" customHeight="1" x14ac:dyDescent="0.2">
      <c r="B30" t="s">
        <v>106</v>
      </c>
      <c r="C30" s="12">
        <v>628</v>
      </c>
      <c r="D30" s="8">
        <v>3.69</v>
      </c>
      <c r="E30" s="12">
        <v>477</v>
      </c>
      <c r="F30" s="8">
        <v>8.1</v>
      </c>
      <c r="G30" s="12">
        <v>151</v>
      </c>
      <c r="H30" s="8">
        <v>1.36</v>
      </c>
      <c r="I30" s="12">
        <v>0</v>
      </c>
    </row>
    <row r="31" spans="2:9" ht="15" customHeight="1" x14ac:dyDescent="0.2">
      <c r="B31" t="s">
        <v>89</v>
      </c>
      <c r="C31" s="12">
        <v>607</v>
      </c>
      <c r="D31" s="8">
        <v>3.56</v>
      </c>
      <c r="E31" s="12">
        <v>109</v>
      </c>
      <c r="F31" s="8">
        <v>1.85</v>
      </c>
      <c r="G31" s="12">
        <v>498</v>
      </c>
      <c r="H31" s="8">
        <v>4.47</v>
      </c>
      <c r="I31" s="12">
        <v>0</v>
      </c>
    </row>
    <row r="32" spans="2:9" ht="15" customHeight="1" x14ac:dyDescent="0.2">
      <c r="B32" t="s">
        <v>101</v>
      </c>
      <c r="C32" s="12">
        <v>589</v>
      </c>
      <c r="D32" s="8">
        <v>3.46</v>
      </c>
      <c r="E32" s="12">
        <v>208</v>
      </c>
      <c r="F32" s="8">
        <v>3.53</v>
      </c>
      <c r="G32" s="12">
        <v>381</v>
      </c>
      <c r="H32" s="8">
        <v>3.42</v>
      </c>
      <c r="I32" s="12">
        <v>0</v>
      </c>
    </row>
    <row r="33" spans="2:9" ht="15" customHeight="1" x14ac:dyDescent="0.2">
      <c r="B33" t="s">
        <v>90</v>
      </c>
      <c r="C33" s="12">
        <v>587</v>
      </c>
      <c r="D33" s="8">
        <v>3.45</v>
      </c>
      <c r="E33" s="12">
        <v>47</v>
      </c>
      <c r="F33" s="8">
        <v>0.8</v>
      </c>
      <c r="G33" s="12">
        <v>540</v>
      </c>
      <c r="H33" s="8">
        <v>4.8499999999999996</v>
      </c>
      <c r="I33" s="12">
        <v>0</v>
      </c>
    </row>
    <row r="34" spans="2:9" ht="15" customHeight="1" x14ac:dyDescent="0.2">
      <c r="B34" t="s">
        <v>121</v>
      </c>
      <c r="C34" s="12">
        <v>557</v>
      </c>
      <c r="D34" s="8">
        <v>3.27</v>
      </c>
      <c r="E34" s="12">
        <v>94</v>
      </c>
      <c r="F34" s="8">
        <v>1.6</v>
      </c>
      <c r="G34" s="12">
        <v>463</v>
      </c>
      <c r="H34" s="8">
        <v>4.16</v>
      </c>
      <c r="I34" s="12">
        <v>0</v>
      </c>
    </row>
    <row r="35" spans="2:9" ht="15" customHeight="1" x14ac:dyDescent="0.2">
      <c r="B35" t="s">
        <v>88</v>
      </c>
      <c r="C35" s="12">
        <v>539</v>
      </c>
      <c r="D35" s="8">
        <v>3.16</v>
      </c>
      <c r="E35" s="12">
        <v>68</v>
      </c>
      <c r="F35" s="8">
        <v>1.1599999999999999</v>
      </c>
      <c r="G35" s="12">
        <v>471</v>
      </c>
      <c r="H35" s="8">
        <v>4.2300000000000004</v>
      </c>
      <c r="I35" s="12">
        <v>0</v>
      </c>
    </row>
    <row r="36" spans="2:9" ht="15" customHeight="1" x14ac:dyDescent="0.2">
      <c r="B36" t="s">
        <v>105</v>
      </c>
      <c r="C36" s="12">
        <v>367</v>
      </c>
      <c r="D36" s="8">
        <v>2.15</v>
      </c>
      <c r="E36" s="12">
        <v>202</v>
      </c>
      <c r="F36" s="8">
        <v>3.43</v>
      </c>
      <c r="G36" s="12">
        <v>164</v>
      </c>
      <c r="H36" s="8">
        <v>1.47</v>
      </c>
      <c r="I36" s="12">
        <v>1</v>
      </c>
    </row>
    <row r="37" spans="2:9" ht="15" customHeight="1" x14ac:dyDescent="0.2">
      <c r="B37" t="s">
        <v>99</v>
      </c>
      <c r="C37" s="12">
        <v>333</v>
      </c>
      <c r="D37" s="8">
        <v>1.95</v>
      </c>
      <c r="E37" s="12">
        <v>22</v>
      </c>
      <c r="F37" s="8">
        <v>0.37</v>
      </c>
      <c r="G37" s="12">
        <v>311</v>
      </c>
      <c r="H37" s="8">
        <v>2.79</v>
      </c>
      <c r="I37" s="12">
        <v>0</v>
      </c>
    </row>
    <row r="38" spans="2:9" ht="15" customHeight="1" x14ac:dyDescent="0.2">
      <c r="B38" t="s">
        <v>93</v>
      </c>
      <c r="C38" s="12">
        <v>317</v>
      </c>
      <c r="D38" s="8">
        <v>1.86</v>
      </c>
      <c r="E38" s="12">
        <v>14</v>
      </c>
      <c r="F38" s="8">
        <v>0.24</v>
      </c>
      <c r="G38" s="12">
        <v>303</v>
      </c>
      <c r="H38" s="8">
        <v>2.72</v>
      </c>
      <c r="I38" s="12">
        <v>0</v>
      </c>
    </row>
    <row r="39" spans="2:9" ht="15" customHeight="1" x14ac:dyDescent="0.2">
      <c r="B39" t="s">
        <v>95</v>
      </c>
      <c r="C39" s="12">
        <v>309</v>
      </c>
      <c r="D39" s="8">
        <v>1.81</v>
      </c>
      <c r="E39" s="12">
        <v>113</v>
      </c>
      <c r="F39" s="8">
        <v>1.92</v>
      </c>
      <c r="G39" s="12">
        <v>196</v>
      </c>
      <c r="H39" s="8">
        <v>1.76</v>
      </c>
      <c r="I39" s="12">
        <v>0</v>
      </c>
    </row>
    <row r="40" spans="2:9" ht="15" customHeight="1" x14ac:dyDescent="0.2">
      <c r="B40" t="s">
        <v>102</v>
      </c>
      <c r="C40" s="12">
        <v>297</v>
      </c>
      <c r="D40" s="8">
        <v>1.74</v>
      </c>
      <c r="E40" s="12">
        <v>79</v>
      </c>
      <c r="F40" s="8">
        <v>1.34</v>
      </c>
      <c r="G40" s="12">
        <v>218</v>
      </c>
      <c r="H40" s="8">
        <v>1.96</v>
      </c>
      <c r="I40" s="12">
        <v>0</v>
      </c>
    </row>
    <row r="41" spans="2:9" ht="15" customHeight="1" x14ac:dyDescent="0.2">
      <c r="B41" t="s">
        <v>97</v>
      </c>
      <c r="C41" s="12">
        <v>286</v>
      </c>
      <c r="D41" s="8">
        <v>1.68</v>
      </c>
      <c r="E41" s="12">
        <v>88</v>
      </c>
      <c r="F41" s="8">
        <v>1.49</v>
      </c>
      <c r="G41" s="12">
        <v>198</v>
      </c>
      <c r="H41" s="8">
        <v>1.78</v>
      </c>
      <c r="I41" s="12">
        <v>0</v>
      </c>
    </row>
    <row r="42" spans="2:9" ht="15" customHeight="1" x14ac:dyDescent="0.2">
      <c r="B42" t="s">
        <v>120</v>
      </c>
      <c r="C42" s="12">
        <v>273</v>
      </c>
      <c r="D42" s="8">
        <v>1.6</v>
      </c>
      <c r="E42" s="12">
        <v>80</v>
      </c>
      <c r="F42" s="8">
        <v>1.36</v>
      </c>
      <c r="G42" s="12">
        <v>193</v>
      </c>
      <c r="H42" s="8">
        <v>1.73</v>
      </c>
      <c r="I42" s="12">
        <v>0</v>
      </c>
    </row>
    <row r="43" spans="2:9" ht="15" customHeight="1" x14ac:dyDescent="0.2">
      <c r="B43" t="s">
        <v>94</v>
      </c>
      <c r="C43" s="12">
        <v>264</v>
      </c>
      <c r="D43" s="8">
        <v>1.55</v>
      </c>
      <c r="E43" s="12">
        <v>20</v>
      </c>
      <c r="F43" s="8">
        <v>0.34</v>
      </c>
      <c r="G43" s="12">
        <v>244</v>
      </c>
      <c r="H43" s="8">
        <v>2.19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1412</v>
      </c>
      <c r="D47" s="8">
        <v>8.2899999999999991</v>
      </c>
      <c r="E47" s="12">
        <v>629</v>
      </c>
      <c r="F47" s="8">
        <v>10.68</v>
      </c>
      <c r="G47" s="12">
        <v>783</v>
      </c>
      <c r="H47" s="8">
        <v>7.03</v>
      </c>
      <c r="I47" s="12">
        <v>0</v>
      </c>
    </row>
    <row r="48" spans="2:9" ht="15" customHeight="1" x14ac:dyDescent="0.2">
      <c r="B48" t="s">
        <v>168</v>
      </c>
      <c r="C48" s="12">
        <v>583</v>
      </c>
      <c r="D48" s="8">
        <v>3.42</v>
      </c>
      <c r="E48" s="12">
        <v>380</v>
      </c>
      <c r="F48" s="8">
        <v>6.45</v>
      </c>
      <c r="G48" s="12">
        <v>203</v>
      </c>
      <c r="H48" s="8">
        <v>1.82</v>
      </c>
      <c r="I48" s="12">
        <v>0</v>
      </c>
    </row>
    <row r="49" spans="2:9" ht="15" customHeight="1" x14ac:dyDescent="0.2">
      <c r="B49" t="s">
        <v>172</v>
      </c>
      <c r="C49" s="12">
        <v>484</v>
      </c>
      <c r="D49" s="8">
        <v>2.84</v>
      </c>
      <c r="E49" s="12">
        <v>367</v>
      </c>
      <c r="F49" s="8">
        <v>6.23</v>
      </c>
      <c r="G49" s="12">
        <v>117</v>
      </c>
      <c r="H49" s="8">
        <v>1.05</v>
      </c>
      <c r="I49" s="12">
        <v>0</v>
      </c>
    </row>
    <row r="50" spans="2:9" ht="15" customHeight="1" x14ac:dyDescent="0.2">
      <c r="B50" t="s">
        <v>169</v>
      </c>
      <c r="C50" s="12">
        <v>476</v>
      </c>
      <c r="D50" s="8">
        <v>2.79</v>
      </c>
      <c r="E50" s="12">
        <v>383</v>
      </c>
      <c r="F50" s="8">
        <v>6.51</v>
      </c>
      <c r="G50" s="12">
        <v>93</v>
      </c>
      <c r="H50" s="8">
        <v>0.84</v>
      </c>
      <c r="I50" s="12">
        <v>0</v>
      </c>
    </row>
    <row r="51" spans="2:9" ht="15" customHeight="1" x14ac:dyDescent="0.2">
      <c r="B51" t="s">
        <v>163</v>
      </c>
      <c r="C51" s="12">
        <v>422</v>
      </c>
      <c r="D51" s="8">
        <v>2.48</v>
      </c>
      <c r="E51" s="12">
        <v>15</v>
      </c>
      <c r="F51" s="8">
        <v>0.25</v>
      </c>
      <c r="G51" s="12">
        <v>406</v>
      </c>
      <c r="H51" s="8">
        <v>3.65</v>
      </c>
      <c r="I51" s="12">
        <v>1</v>
      </c>
    </row>
    <row r="52" spans="2:9" ht="15" customHeight="1" x14ac:dyDescent="0.2">
      <c r="B52" t="s">
        <v>175</v>
      </c>
      <c r="C52" s="12">
        <v>371</v>
      </c>
      <c r="D52" s="8">
        <v>2.1800000000000002</v>
      </c>
      <c r="E52" s="12">
        <v>261</v>
      </c>
      <c r="F52" s="8">
        <v>4.43</v>
      </c>
      <c r="G52" s="12">
        <v>110</v>
      </c>
      <c r="H52" s="8">
        <v>0.99</v>
      </c>
      <c r="I52" s="12">
        <v>0</v>
      </c>
    </row>
    <row r="53" spans="2:9" ht="15" customHeight="1" x14ac:dyDescent="0.2">
      <c r="B53" t="s">
        <v>170</v>
      </c>
      <c r="C53" s="12">
        <v>308</v>
      </c>
      <c r="D53" s="8">
        <v>1.81</v>
      </c>
      <c r="E53" s="12">
        <v>281</v>
      </c>
      <c r="F53" s="8">
        <v>4.7699999999999996</v>
      </c>
      <c r="G53" s="12">
        <v>27</v>
      </c>
      <c r="H53" s="8">
        <v>0.24</v>
      </c>
      <c r="I53" s="12">
        <v>0</v>
      </c>
    </row>
    <row r="54" spans="2:9" ht="15" customHeight="1" x14ac:dyDescent="0.2">
      <c r="B54" t="s">
        <v>161</v>
      </c>
      <c r="C54" s="12">
        <v>305</v>
      </c>
      <c r="D54" s="8">
        <v>1.79</v>
      </c>
      <c r="E54" s="12">
        <v>52</v>
      </c>
      <c r="F54" s="8">
        <v>0.88</v>
      </c>
      <c r="G54" s="12">
        <v>253</v>
      </c>
      <c r="H54" s="8">
        <v>2.27</v>
      </c>
      <c r="I54" s="12">
        <v>0</v>
      </c>
    </row>
    <row r="55" spans="2:9" ht="15" customHeight="1" x14ac:dyDescent="0.2">
      <c r="B55" t="s">
        <v>171</v>
      </c>
      <c r="C55" s="12">
        <v>284</v>
      </c>
      <c r="D55" s="8">
        <v>1.67</v>
      </c>
      <c r="E55" s="12">
        <v>260</v>
      </c>
      <c r="F55" s="8">
        <v>4.42</v>
      </c>
      <c r="G55" s="12">
        <v>24</v>
      </c>
      <c r="H55" s="8">
        <v>0.22</v>
      </c>
      <c r="I55" s="12">
        <v>0</v>
      </c>
    </row>
    <row r="56" spans="2:9" ht="15" customHeight="1" x14ac:dyDescent="0.2">
      <c r="B56" t="s">
        <v>159</v>
      </c>
      <c r="C56" s="12">
        <v>283</v>
      </c>
      <c r="D56" s="8">
        <v>1.66</v>
      </c>
      <c r="E56" s="12">
        <v>173</v>
      </c>
      <c r="F56" s="8">
        <v>2.94</v>
      </c>
      <c r="G56" s="12">
        <v>110</v>
      </c>
      <c r="H56" s="8">
        <v>0.99</v>
      </c>
      <c r="I56" s="12">
        <v>0</v>
      </c>
    </row>
    <row r="57" spans="2:9" ht="15" customHeight="1" x14ac:dyDescent="0.2">
      <c r="B57" t="s">
        <v>160</v>
      </c>
      <c r="C57" s="12">
        <v>274</v>
      </c>
      <c r="D57" s="8">
        <v>1.61</v>
      </c>
      <c r="E57" s="12">
        <v>19</v>
      </c>
      <c r="F57" s="8">
        <v>0.32</v>
      </c>
      <c r="G57" s="12">
        <v>255</v>
      </c>
      <c r="H57" s="8">
        <v>2.29</v>
      </c>
      <c r="I57" s="12">
        <v>0</v>
      </c>
    </row>
    <row r="58" spans="2:9" ht="15" customHeight="1" x14ac:dyDescent="0.2">
      <c r="B58" t="s">
        <v>158</v>
      </c>
      <c r="C58" s="12">
        <v>273</v>
      </c>
      <c r="D58" s="8">
        <v>1.6</v>
      </c>
      <c r="E58" s="12">
        <v>144</v>
      </c>
      <c r="F58" s="8">
        <v>2.4500000000000002</v>
      </c>
      <c r="G58" s="12">
        <v>129</v>
      </c>
      <c r="H58" s="8">
        <v>1.1599999999999999</v>
      </c>
      <c r="I58" s="12">
        <v>0</v>
      </c>
    </row>
    <row r="59" spans="2:9" ht="15" customHeight="1" x14ac:dyDescent="0.2">
      <c r="B59" t="s">
        <v>192</v>
      </c>
      <c r="C59" s="12">
        <v>257</v>
      </c>
      <c r="D59" s="8">
        <v>1.51</v>
      </c>
      <c r="E59" s="12">
        <v>39</v>
      </c>
      <c r="F59" s="8">
        <v>0.66</v>
      </c>
      <c r="G59" s="12">
        <v>218</v>
      </c>
      <c r="H59" s="8">
        <v>1.96</v>
      </c>
      <c r="I59" s="12">
        <v>0</v>
      </c>
    </row>
    <row r="60" spans="2:9" ht="15" customHeight="1" x14ac:dyDescent="0.2">
      <c r="B60" t="s">
        <v>173</v>
      </c>
      <c r="C60" s="12">
        <v>247</v>
      </c>
      <c r="D60" s="8">
        <v>1.45</v>
      </c>
      <c r="E60" s="12">
        <v>153</v>
      </c>
      <c r="F60" s="8">
        <v>2.6</v>
      </c>
      <c r="G60" s="12">
        <v>93</v>
      </c>
      <c r="H60" s="8">
        <v>0.84</v>
      </c>
      <c r="I60" s="12">
        <v>1</v>
      </c>
    </row>
    <row r="61" spans="2:9" ht="15" customHeight="1" x14ac:dyDescent="0.2">
      <c r="B61" t="s">
        <v>197</v>
      </c>
      <c r="C61" s="12">
        <v>242</v>
      </c>
      <c r="D61" s="8">
        <v>1.42</v>
      </c>
      <c r="E61" s="12">
        <v>98</v>
      </c>
      <c r="F61" s="8">
        <v>1.66</v>
      </c>
      <c r="G61" s="12">
        <v>144</v>
      </c>
      <c r="H61" s="8">
        <v>1.29</v>
      </c>
      <c r="I61" s="12">
        <v>0</v>
      </c>
    </row>
    <row r="62" spans="2:9" ht="15" customHeight="1" x14ac:dyDescent="0.2">
      <c r="B62" t="s">
        <v>174</v>
      </c>
      <c r="C62" s="12">
        <v>237</v>
      </c>
      <c r="D62" s="8">
        <v>1.39</v>
      </c>
      <c r="E62" s="12">
        <v>209</v>
      </c>
      <c r="F62" s="8">
        <v>3.55</v>
      </c>
      <c r="G62" s="12">
        <v>28</v>
      </c>
      <c r="H62" s="8">
        <v>0.25</v>
      </c>
      <c r="I62" s="12">
        <v>0</v>
      </c>
    </row>
    <row r="63" spans="2:9" ht="15" customHeight="1" x14ac:dyDescent="0.2">
      <c r="B63" t="s">
        <v>201</v>
      </c>
      <c r="C63" s="12">
        <v>221</v>
      </c>
      <c r="D63" s="8">
        <v>1.3</v>
      </c>
      <c r="E63" s="12">
        <v>7</v>
      </c>
      <c r="F63" s="8">
        <v>0.12</v>
      </c>
      <c r="G63" s="12">
        <v>214</v>
      </c>
      <c r="H63" s="8">
        <v>1.92</v>
      </c>
      <c r="I63" s="12">
        <v>0</v>
      </c>
    </row>
    <row r="64" spans="2:9" ht="15" customHeight="1" x14ac:dyDescent="0.2">
      <c r="B64" t="s">
        <v>202</v>
      </c>
      <c r="C64" s="12">
        <v>215</v>
      </c>
      <c r="D64" s="8">
        <v>1.26</v>
      </c>
      <c r="E64" s="12">
        <v>47</v>
      </c>
      <c r="F64" s="8">
        <v>0.8</v>
      </c>
      <c r="G64" s="12">
        <v>168</v>
      </c>
      <c r="H64" s="8">
        <v>1.51</v>
      </c>
      <c r="I64" s="12">
        <v>0</v>
      </c>
    </row>
    <row r="65" spans="2:9" ht="15" customHeight="1" x14ac:dyDescent="0.2">
      <c r="B65" t="s">
        <v>166</v>
      </c>
      <c r="C65" s="12">
        <v>191</v>
      </c>
      <c r="D65" s="8">
        <v>1.1200000000000001</v>
      </c>
      <c r="E65" s="12">
        <v>7</v>
      </c>
      <c r="F65" s="8">
        <v>0.12</v>
      </c>
      <c r="G65" s="12">
        <v>184</v>
      </c>
      <c r="H65" s="8">
        <v>1.65</v>
      </c>
      <c r="I65" s="12">
        <v>0</v>
      </c>
    </row>
    <row r="66" spans="2:9" ht="15" customHeight="1" x14ac:dyDescent="0.2">
      <c r="B66" t="s">
        <v>200</v>
      </c>
      <c r="C66" s="12">
        <v>188</v>
      </c>
      <c r="D66" s="8">
        <v>1.1000000000000001</v>
      </c>
      <c r="E66" s="12">
        <v>14</v>
      </c>
      <c r="F66" s="8">
        <v>0.24</v>
      </c>
      <c r="G66" s="12">
        <v>174</v>
      </c>
      <c r="H66" s="8">
        <v>1.56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0B1F-55D2-4103-93B4-637DA41C953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1421</v>
      </c>
      <c r="D6" s="8">
        <v>8.7899999999999991</v>
      </c>
      <c r="E6" s="12">
        <v>156</v>
      </c>
      <c r="F6" s="8">
        <v>2.86</v>
      </c>
      <c r="G6" s="12">
        <v>1265</v>
      </c>
      <c r="H6" s="8">
        <v>11.82</v>
      </c>
      <c r="I6" s="12">
        <v>0</v>
      </c>
    </row>
    <row r="7" spans="2:9" ht="15" customHeight="1" x14ac:dyDescent="0.2">
      <c r="B7" t="s">
        <v>67</v>
      </c>
      <c r="C7" s="12">
        <v>563</v>
      </c>
      <c r="D7" s="8">
        <v>3.48</v>
      </c>
      <c r="E7" s="12">
        <v>93</v>
      </c>
      <c r="F7" s="8">
        <v>1.7</v>
      </c>
      <c r="G7" s="12">
        <v>469</v>
      </c>
      <c r="H7" s="8">
        <v>4.38</v>
      </c>
      <c r="I7" s="12">
        <v>1</v>
      </c>
    </row>
    <row r="8" spans="2:9" ht="15" customHeight="1" x14ac:dyDescent="0.2">
      <c r="B8" t="s">
        <v>68</v>
      </c>
      <c r="C8" s="12">
        <v>8</v>
      </c>
      <c r="D8" s="8">
        <v>0.05</v>
      </c>
      <c r="E8" s="12">
        <v>0</v>
      </c>
      <c r="F8" s="8">
        <v>0</v>
      </c>
      <c r="G8" s="12">
        <v>8</v>
      </c>
      <c r="H8" s="8">
        <v>7.0000000000000007E-2</v>
      </c>
      <c r="I8" s="12">
        <v>0</v>
      </c>
    </row>
    <row r="9" spans="2:9" ht="15" customHeight="1" x14ac:dyDescent="0.2">
      <c r="B9" t="s">
        <v>69</v>
      </c>
      <c r="C9" s="12">
        <v>596</v>
      </c>
      <c r="D9" s="8">
        <v>3.68</v>
      </c>
      <c r="E9" s="12">
        <v>17</v>
      </c>
      <c r="F9" s="8">
        <v>0.31</v>
      </c>
      <c r="G9" s="12">
        <v>579</v>
      </c>
      <c r="H9" s="8">
        <v>5.41</v>
      </c>
      <c r="I9" s="12">
        <v>0</v>
      </c>
    </row>
    <row r="10" spans="2:9" ht="15" customHeight="1" x14ac:dyDescent="0.2">
      <c r="B10" t="s">
        <v>70</v>
      </c>
      <c r="C10" s="12">
        <v>112</v>
      </c>
      <c r="D10" s="8">
        <v>0.69</v>
      </c>
      <c r="E10" s="12">
        <v>58</v>
      </c>
      <c r="F10" s="8">
        <v>1.06</v>
      </c>
      <c r="G10" s="12">
        <v>54</v>
      </c>
      <c r="H10" s="8">
        <v>0.5</v>
      </c>
      <c r="I10" s="12">
        <v>0</v>
      </c>
    </row>
    <row r="11" spans="2:9" ht="15" customHeight="1" x14ac:dyDescent="0.2">
      <c r="B11" t="s">
        <v>71</v>
      </c>
      <c r="C11" s="12">
        <v>3417</v>
      </c>
      <c r="D11" s="8">
        <v>21.13</v>
      </c>
      <c r="E11" s="12">
        <v>1047</v>
      </c>
      <c r="F11" s="8">
        <v>19.190000000000001</v>
      </c>
      <c r="G11" s="12">
        <v>2369</v>
      </c>
      <c r="H11" s="8">
        <v>22.14</v>
      </c>
      <c r="I11" s="12">
        <v>1</v>
      </c>
    </row>
    <row r="12" spans="2:9" ht="15" customHeight="1" x14ac:dyDescent="0.2">
      <c r="B12" t="s">
        <v>72</v>
      </c>
      <c r="C12" s="12">
        <v>70</v>
      </c>
      <c r="D12" s="8">
        <v>0.43</v>
      </c>
      <c r="E12" s="12">
        <v>4</v>
      </c>
      <c r="F12" s="8">
        <v>7.0000000000000007E-2</v>
      </c>
      <c r="G12" s="12">
        <v>66</v>
      </c>
      <c r="H12" s="8">
        <v>0.62</v>
      </c>
      <c r="I12" s="12">
        <v>0</v>
      </c>
    </row>
    <row r="13" spans="2:9" ht="15" customHeight="1" x14ac:dyDescent="0.2">
      <c r="B13" t="s">
        <v>73</v>
      </c>
      <c r="C13" s="12">
        <v>2537</v>
      </c>
      <c r="D13" s="8">
        <v>15.68</v>
      </c>
      <c r="E13" s="12">
        <v>318</v>
      </c>
      <c r="F13" s="8">
        <v>5.83</v>
      </c>
      <c r="G13" s="12">
        <v>2214</v>
      </c>
      <c r="H13" s="8">
        <v>20.7</v>
      </c>
      <c r="I13" s="12">
        <v>4</v>
      </c>
    </row>
    <row r="14" spans="2:9" ht="15" customHeight="1" x14ac:dyDescent="0.2">
      <c r="B14" t="s">
        <v>74</v>
      </c>
      <c r="C14" s="12">
        <v>1664</v>
      </c>
      <c r="D14" s="8">
        <v>10.29</v>
      </c>
      <c r="E14" s="12">
        <v>435</v>
      </c>
      <c r="F14" s="8">
        <v>7.97</v>
      </c>
      <c r="G14" s="12">
        <v>1228</v>
      </c>
      <c r="H14" s="8">
        <v>11.48</v>
      </c>
      <c r="I14" s="12">
        <v>1</v>
      </c>
    </row>
    <row r="15" spans="2:9" ht="15" customHeight="1" x14ac:dyDescent="0.2">
      <c r="B15" t="s">
        <v>75</v>
      </c>
      <c r="C15" s="12">
        <v>1723</v>
      </c>
      <c r="D15" s="8">
        <v>10.65</v>
      </c>
      <c r="E15" s="12">
        <v>1154</v>
      </c>
      <c r="F15" s="8">
        <v>21.15</v>
      </c>
      <c r="G15" s="12">
        <v>567</v>
      </c>
      <c r="H15" s="8">
        <v>5.3</v>
      </c>
      <c r="I15" s="12">
        <v>1</v>
      </c>
    </row>
    <row r="16" spans="2:9" ht="15" customHeight="1" x14ac:dyDescent="0.2">
      <c r="B16" t="s">
        <v>76</v>
      </c>
      <c r="C16" s="12">
        <v>1882</v>
      </c>
      <c r="D16" s="8">
        <v>11.64</v>
      </c>
      <c r="E16" s="12">
        <v>1088</v>
      </c>
      <c r="F16" s="8">
        <v>19.940000000000001</v>
      </c>
      <c r="G16" s="12">
        <v>794</v>
      </c>
      <c r="H16" s="8">
        <v>7.42</v>
      </c>
      <c r="I16" s="12">
        <v>0</v>
      </c>
    </row>
    <row r="17" spans="2:9" ht="15" customHeight="1" x14ac:dyDescent="0.2">
      <c r="B17" t="s">
        <v>77</v>
      </c>
      <c r="C17" s="12">
        <v>667</v>
      </c>
      <c r="D17" s="8">
        <v>4.12</v>
      </c>
      <c r="E17" s="12">
        <v>360</v>
      </c>
      <c r="F17" s="8">
        <v>6.6</v>
      </c>
      <c r="G17" s="12">
        <v>303</v>
      </c>
      <c r="H17" s="8">
        <v>2.83</v>
      </c>
      <c r="I17" s="12">
        <v>2</v>
      </c>
    </row>
    <row r="18" spans="2:9" ht="15" customHeight="1" x14ac:dyDescent="0.2">
      <c r="B18" t="s">
        <v>78</v>
      </c>
      <c r="C18" s="12">
        <v>1006</v>
      </c>
      <c r="D18" s="8">
        <v>6.22</v>
      </c>
      <c r="E18" s="12">
        <v>670</v>
      </c>
      <c r="F18" s="8">
        <v>12.28</v>
      </c>
      <c r="G18" s="12">
        <v>335</v>
      </c>
      <c r="H18" s="8">
        <v>3.13</v>
      </c>
      <c r="I18" s="12">
        <v>1</v>
      </c>
    </row>
    <row r="19" spans="2:9" ht="15" customHeight="1" x14ac:dyDescent="0.2">
      <c r="B19" t="s">
        <v>79</v>
      </c>
      <c r="C19" s="12">
        <v>509</v>
      </c>
      <c r="D19" s="8">
        <v>3.15</v>
      </c>
      <c r="E19" s="12">
        <v>57</v>
      </c>
      <c r="F19" s="8">
        <v>1.04</v>
      </c>
      <c r="G19" s="12">
        <v>447</v>
      </c>
      <c r="H19" s="8">
        <v>4.18</v>
      </c>
      <c r="I19" s="12">
        <v>4</v>
      </c>
    </row>
    <row r="20" spans="2:9" ht="15" customHeight="1" x14ac:dyDescent="0.2">
      <c r="B20" s="9" t="s">
        <v>280</v>
      </c>
      <c r="C20" s="12">
        <f>SUM(LTBL_13112[総数／事業所数])</f>
        <v>16175</v>
      </c>
      <c r="E20" s="12">
        <f>SUBTOTAL(109,LTBL_13112[個人／事業所数])</f>
        <v>5457</v>
      </c>
      <c r="G20" s="12">
        <f>SUBTOTAL(109,LTBL_13112[法人／事業所数])</f>
        <v>10698</v>
      </c>
      <c r="I20" s="12">
        <f>SUBTOTAL(109,LTBL_13112[法人以外の団体／事業所数])</f>
        <v>15</v>
      </c>
    </row>
    <row r="21" spans="2:9" ht="15" customHeight="1" x14ac:dyDescent="0.2">
      <c r="E21" s="11">
        <f>LTBL_13112[[#Totals],[個人／事業所数]]/LTBL_13112[[#Totals],[総数／事業所数]]</f>
        <v>0.33737248840803707</v>
      </c>
      <c r="G21" s="11">
        <f>LTBL_13112[[#Totals],[法人／事業所数]]/LTBL_13112[[#Totals],[総数／事業所数]]</f>
        <v>0.66139103554868628</v>
      </c>
      <c r="I21" s="11">
        <f>LTBL_13112[[#Totals],[法人以外の団体／事業所数]]/LTBL_13112[[#Totals],[総数／事業所数]]</f>
        <v>9.2735703245749618E-4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2057</v>
      </c>
      <c r="D24" s="8">
        <v>12.72</v>
      </c>
      <c r="E24" s="12">
        <v>282</v>
      </c>
      <c r="F24" s="8">
        <v>5.17</v>
      </c>
      <c r="G24" s="12">
        <v>1770</v>
      </c>
      <c r="H24" s="8">
        <v>16.55</v>
      </c>
      <c r="I24" s="12">
        <v>4</v>
      </c>
    </row>
    <row r="25" spans="2:9" ht="15" customHeight="1" x14ac:dyDescent="0.2">
      <c r="B25" t="s">
        <v>103</v>
      </c>
      <c r="C25" s="12">
        <v>1582</v>
      </c>
      <c r="D25" s="8">
        <v>9.7799999999999994</v>
      </c>
      <c r="E25" s="12">
        <v>1138</v>
      </c>
      <c r="F25" s="8">
        <v>20.85</v>
      </c>
      <c r="G25" s="12">
        <v>444</v>
      </c>
      <c r="H25" s="8">
        <v>4.1500000000000004</v>
      </c>
      <c r="I25" s="12">
        <v>0</v>
      </c>
    </row>
    <row r="26" spans="2:9" ht="15" customHeight="1" x14ac:dyDescent="0.2">
      <c r="B26" t="s">
        <v>104</v>
      </c>
      <c r="C26" s="12">
        <v>1451</v>
      </c>
      <c r="D26" s="8">
        <v>8.9700000000000006</v>
      </c>
      <c r="E26" s="12">
        <v>994</v>
      </c>
      <c r="F26" s="8">
        <v>18.22</v>
      </c>
      <c r="G26" s="12">
        <v>457</v>
      </c>
      <c r="H26" s="8">
        <v>4.2699999999999996</v>
      </c>
      <c r="I26" s="12">
        <v>0</v>
      </c>
    </row>
    <row r="27" spans="2:9" ht="15" customHeight="1" x14ac:dyDescent="0.2">
      <c r="B27" t="s">
        <v>101</v>
      </c>
      <c r="C27" s="12">
        <v>1099</v>
      </c>
      <c r="D27" s="8">
        <v>6.79</v>
      </c>
      <c r="E27" s="12">
        <v>316</v>
      </c>
      <c r="F27" s="8">
        <v>5.79</v>
      </c>
      <c r="G27" s="12">
        <v>782</v>
      </c>
      <c r="H27" s="8">
        <v>7.31</v>
      </c>
      <c r="I27" s="12">
        <v>1</v>
      </c>
    </row>
    <row r="28" spans="2:9" ht="15" customHeight="1" x14ac:dyDescent="0.2">
      <c r="B28" t="s">
        <v>98</v>
      </c>
      <c r="C28" s="12">
        <v>967</v>
      </c>
      <c r="D28" s="8">
        <v>5.98</v>
      </c>
      <c r="E28" s="12">
        <v>366</v>
      </c>
      <c r="F28" s="8">
        <v>6.71</v>
      </c>
      <c r="G28" s="12">
        <v>601</v>
      </c>
      <c r="H28" s="8">
        <v>5.62</v>
      </c>
      <c r="I28" s="12">
        <v>0</v>
      </c>
    </row>
    <row r="29" spans="2:9" ht="15" customHeight="1" x14ac:dyDescent="0.2">
      <c r="B29" t="s">
        <v>106</v>
      </c>
      <c r="C29" s="12">
        <v>838</v>
      </c>
      <c r="D29" s="8">
        <v>5.18</v>
      </c>
      <c r="E29" s="12">
        <v>664</v>
      </c>
      <c r="F29" s="8">
        <v>12.17</v>
      </c>
      <c r="G29" s="12">
        <v>174</v>
      </c>
      <c r="H29" s="8">
        <v>1.63</v>
      </c>
      <c r="I29" s="12">
        <v>0</v>
      </c>
    </row>
    <row r="30" spans="2:9" ht="15" customHeight="1" x14ac:dyDescent="0.2">
      <c r="B30" t="s">
        <v>105</v>
      </c>
      <c r="C30" s="12">
        <v>667</v>
      </c>
      <c r="D30" s="8">
        <v>4.12</v>
      </c>
      <c r="E30" s="12">
        <v>360</v>
      </c>
      <c r="F30" s="8">
        <v>6.6</v>
      </c>
      <c r="G30" s="12">
        <v>303</v>
      </c>
      <c r="H30" s="8">
        <v>2.83</v>
      </c>
      <c r="I30" s="12">
        <v>2</v>
      </c>
    </row>
    <row r="31" spans="2:9" ht="15" customHeight="1" x14ac:dyDescent="0.2">
      <c r="B31" t="s">
        <v>96</v>
      </c>
      <c r="C31" s="12">
        <v>614</v>
      </c>
      <c r="D31" s="8">
        <v>3.8</v>
      </c>
      <c r="E31" s="12">
        <v>322</v>
      </c>
      <c r="F31" s="8">
        <v>5.9</v>
      </c>
      <c r="G31" s="12">
        <v>292</v>
      </c>
      <c r="H31" s="8">
        <v>2.73</v>
      </c>
      <c r="I31" s="12">
        <v>0</v>
      </c>
    </row>
    <row r="32" spans="2:9" ht="15" customHeight="1" x14ac:dyDescent="0.2">
      <c r="B32" t="s">
        <v>88</v>
      </c>
      <c r="C32" s="12">
        <v>586</v>
      </c>
      <c r="D32" s="8">
        <v>3.62</v>
      </c>
      <c r="E32" s="12">
        <v>44</v>
      </c>
      <c r="F32" s="8">
        <v>0.81</v>
      </c>
      <c r="G32" s="12">
        <v>542</v>
      </c>
      <c r="H32" s="8">
        <v>5.07</v>
      </c>
      <c r="I32" s="12">
        <v>0</v>
      </c>
    </row>
    <row r="33" spans="2:9" ht="15" customHeight="1" x14ac:dyDescent="0.2">
      <c r="B33" t="s">
        <v>95</v>
      </c>
      <c r="C33" s="12">
        <v>506</v>
      </c>
      <c r="D33" s="8">
        <v>3.13</v>
      </c>
      <c r="E33" s="12">
        <v>181</v>
      </c>
      <c r="F33" s="8">
        <v>3.32</v>
      </c>
      <c r="G33" s="12">
        <v>325</v>
      </c>
      <c r="H33" s="8">
        <v>3.04</v>
      </c>
      <c r="I33" s="12">
        <v>0</v>
      </c>
    </row>
    <row r="34" spans="2:9" ht="15" customHeight="1" x14ac:dyDescent="0.2">
      <c r="B34" t="s">
        <v>89</v>
      </c>
      <c r="C34" s="12">
        <v>498</v>
      </c>
      <c r="D34" s="8">
        <v>3.08</v>
      </c>
      <c r="E34" s="12">
        <v>86</v>
      </c>
      <c r="F34" s="8">
        <v>1.58</v>
      </c>
      <c r="G34" s="12">
        <v>412</v>
      </c>
      <c r="H34" s="8">
        <v>3.85</v>
      </c>
      <c r="I34" s="12">
        <v>0</v>
      </c>
    </row>
    <row r="35" spans="2:9" ht="15" customHeight="1" x14ac:dyDescent="0.2">
      <c r="B35" t="s">
        <v>102</v>
      </c>
      <c r="C35" s="12">
        <v>482</v>
      </c>
      <c r="D35" s="8">
        <v>2.98</v>
      </c>
      <c r="E35" s="12">
        <v>117</v>
      </c>
      <c r="F35" s="8">
        <v>2.14</v>
      </c>
      <c r="G35" s="12">
        <v>365</v>
      </c>
      <c r="H35" s="8">
        <v>3.41</v>
      </c>
      <c r="I35" s="12">
        <v>0</v>
      </c>
    </row>
    <row r="36" spans="2:9" ht="15" customHeight="1" x14ac:dyDescent="0.2">
      <c r="B36" t="s">
        <v>99</v>
      </c>
      <c r="C36" s="12">
        <v>436</v>
      </c>
      <c r="D36" s="8">
        <v>2.7</v>
      </c>
      <c r="E36" s="12">
        <v>33</v>
      </c>
      <c r="F36" s="8">
        <v>0.6</v>
      </c>
      <c r="G36" s="12">
        <v>403</v>
      </c>
      <c r="H36" s="8">
        <v>3.77</v>
      </c>
      <c r="I36" s="12">
        <v>0</v>
      </c>
    </row>
    <row r="37" spans="2:9" ht="15" customHeight="1" x14ac:dyDescent="0.2">
      <c r="B37" t="s">
        <v>97</v>
      </c>
      <c r="C37" s="12">
        <v>342</v>
      </c>
      <c r="D37" s="8">
        <v>2.11</v>
      </c>
      <c r="E37" s="12">
        <v>98</v>
      </c>
      <c r="F37" s="8">
        <v>1.8</v>
      </c>
      <c r="G37" s="12">
        <v>244</v>
      </c>
      <c r="H37" s="8">
        <v>2.2799999999999998</v>
      </c>
      <c r="I37" s="12">
        <v>0</v>
      </c>
    </row>
    <row r="38" spans="2:9" ht="15" customHeight="1" x14ac:dyDescent="0.2">
      <c r="B38" t="s">
        <v>107</v>
      </c>
      <c r="C38" s="12">
        <v>340</v>
      </c>
      <c r="D38" s="8">
        <v>2.1</v>
      </c>
      <c r="E38" s="12">
        <v>15</v>
      </c>
      <c r="F38" s="8">
        <v>0.27</v>
      </c>
      <c r="G38" s="12">
        <v>322</v>
      </c>
      <c r="H38" s="8">
        <v>3.01</v>
      </c>
      <c r="I38" s="12">
        <v>3</v>
      </c>
    </row>
    <row r="39" spans="2:9" ht="15" customHeight="1" x14ac:dyDescent="0.2">
      <c r="B39" t="s">
        <v>90</v>
      </c>
      <c r="C39" s="12">
        <v>337</v>
      </c>
      <c r="D39" s="8">
        <v>2.08</v>
      </c>
      <c r="E39" s="12">
        <v>26</v>
      </c>
      <c r="F39" s="8">
        <v>0.48</v>
      </c>
      <c r="G39" s="12">
        <v>311</v>
      </c>
      <c r="H39" s="8">
        <v>2.91</v>
      </c>
      <c r="I39" s="12">
        <v>0</v>
      </c>
    </row>
    <row r="40" spans="2:9" ht="15" customHeight="1" x14ac:dyDescent="0.2">
      <c r="B40" t="s">
        <v>92</v>
      </c>
      <c r="C40" s="12">
        <v>295</v>
      </c>
      <c r="D40" s="8">
        <v>1.82</v>
      </c>
      <c r="E40" s="12">
        <v>14</v>
      </c>
      <c r="F40" s="8">
        <v>0.26</v>
      </c>
      <c r="G40" s="12">
        <v>281</v>
      </c>
      <c r="H40" s="8">
        <v>2.63</v>
      </c>
      <c r="I40" s="12">
        <v>0</v>
      </c>
    </row>
    <row r="41" spans="2:9" ht="15" customHeight="1" x14ac:dyDescent="0.2">
      <c r="B41" t="s">
        <v>94</v>
      </c>
      <c r="C41" s="12">
        <v>250</v>
      </c>
      <c r="D41" s="8">
        <v>1.55</v>
      </c>
      <c r="E41" s="12">
        <v>27</v>
      </c>
      <c r="F41" s="8">
        <v>0.49</v>
      </c>
      <c r="G41" s="12">
        <v>223</v>
      </c>
      <c r="H41" s="8">
        <v>2.08</v>
      </c>
      <c r="I41" s="12">
        <v>0</v>
      </c>
    </row>
    <row r="42" spans="2:9" ht="15" customHeight="1" x14ac:dyDescent="0.2">
      <c r="B42" t="s">
        <v>114</v>
      </c>
      <c r="C42" s="12">
        <v>226</v>
      </c>
      <c r="D42" s="8">
        <v>1.4</v>
      </c>
      <c r="E42" s="12">
        <v>26</v>
      </c>
      <c r="F42" s="8">
        <v>0.48</v>
      </c>
      <c r="G42" s="12">
        <v>200</v>
      </c>
      <c r="H42" s="8">
        <v>1.87</v>
      </c>
      <c r="I42" s="12">
        <v>0</v>
      </c>
    </row>
    <row r="43" spans="2:9" ht="15" customHeight="1" x14ac:dyDescent="0.2">
      <c r="B43" t="s">
        <v>91</v>
      </c>
      <c r="C43" s="12">
        <v>217</v>
      </c>
      <c r="D43" s="8">
        <v>1.34</v>
      </c>
      <c r="E43" s="12">
        <v>2</v>
      </c>
      <c r="F43" s="8">
        <v>0.04</v>
      </c>
      <c r="G43" s="12">
        <v>215</v>
      </c>
      <c r="H43" s="8">
        <v>2.0099999999999998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1167</v>
      </c>
      <c r="D47" s="8">
        <v>7.21</v>
      </c>
      <c r="E47" s="12">
        <v>236</v>
      </c>
      <c r="F47" s="8">
        <v>4.32</v>
      </c>
      <c r="G47" s="12">
        <v>930</v>
      </c>
      <c r="H47" s="8">
        <v>8.69</v>
      </c>
      <c r="I47" s="12">
        <v>1</v>
      </c>
    </row>
    <row r="48" spans="2:9" ht="15" customHeight="1" x14ac:dyDescent="0.2">
      <c r="B48" t="s">
        <v>172</v>
      </c>
      <c r="C48" s="12">
        <v>759</v>
      </c>
      <c r="D48" s="8">
        <v>4.6900000000000004</v>
      </c>
      <c r="E48" s="12">
        <v>552</v>
      </c>
      <c r="F48" s="8">
        <v>10.119999999999999</v>
      </c>
      <c r="G48" s="12">
        <v>207</v>
      </c>
      <c r="H48" s="8">
        <v>1.93</v>
      </c>
      <c r="I48" s="12">
        <v>0</v>
      </c>
    </row>
    <row r="49" spans="2:9" ht="15" customHeight="1" x14ac:dyDescent="0.2">
      <c r="B49" t="s">
        <v>168</v>
      </c>
      <c r="C49" s="12">
        <v>565</v>
      </c>
      <c r="D49" s="8">
        <v>3.49</v>
      </c>
      <c r="E49" s="12">
        <v>390</v>
      </c>
      <c r="F49" s="8">
        <v>7.15</v>
      </c>
      <c r="G49" s="12">
        <v>175</v>
      </c>
      <c r="H49" s="8">
        <v>1.64</v>
      </c>
      <c r="I49" s="12">
        <v>0</v>
      </c>
    </row>
    <row r="50" spans="2:9" ht="15" customHeight="1" x14ac:dyDescent="0.2">
      <c r="B50" t="s">
        <v>163</v>
      </c>
      <c r="C50" s="12">
        <v>554</v>
      </c>
      <c r="D50" s="8">
        <v>3.43</v>
      </c>
      <c r="E50" s="12">
        <v>10</v>
      </c>
      <c r="F50" s="8">
        <v>0.18</v>
      </c>
      <c r="G50" s="12">
        <v>540</v>
      </c>
      <c r="H50" s="8">
        <v>5.05</v>
      </c>
      <c r="I50" s="12">
        <v>3</v>
      </c>
    </row>
    <row r="51" spans="2:9" ht="15" customHeight="1" x14ac:dyDescent="0.2">
      <c r="B51" t="s">
        <v>175</v>
      </c>
      <c r="C51" s="12">
        <v>514</v>
      </c>
      <c r="D51" s="8">
        <v>3.18</v>
      </c>
      <c r="E51" s="12">
        <v>393</v>
      </c>
      <c r="F51" s="8">
        <v>7.2</v>
      </c>
      <c r="G51" s="12">
        <v>121</v>
      </c>
      <c r="H51" s="8">
        <v>1.1299999999999999</v>
      </c>
      <c r="I51" s="12">
        <v>0</v>
      </c>
    </row>
    <row r="52" spans="2:9" ht="15" customHeight="1" x14ac:dyDescent="0.2">
      <c r="B52" t="s">
        <v>173</v>
      </c>
      <c r="C52" s="12">
        <v>468</v>
      </c>
      <c r="D52" s="8">
        <v>2.89</v>
      </c>
      <c r="E52" s="12">
        <v>283</v>
      </c>
      <c r="F52" s="8">
        <v>5.19</v>
      </c>
      <c r="G52" s="12">
        <v>183</v>
      </c>
      <c r="H52" s="8">
        <v>1.71</v>
      </c>
      <c r="I52" s="12">
        <v>2</v>
      </c>
    </row>
    <row r="53" spans="2:9" ht="15" customHeight="1" x14ac:dyDescent="0.2">
      <c r="B53" t="s">
        <v>159</v>
      </c>
      <c r="C53" s="12">
        <v>393</v>
      </c>
      <c r="D53" s="8">
        <v>2.4300000000000002</v>
      </c>
      <c r="E53" s="12">
        <v>192</v>
      </c>
      <c r="F53" s="8">
        <v>3.52</v>
      </c>
      <c r="G53" s="12">
        <v>201</v>
      </c>
      <c r="H53" s="8">
        <v>1.88</v>
      </c>
      <c r="I53" s="12">
        <v>0</v>
      </c>
    </row>
    <row r="54" spans="2:9" ht="15" customHeight="1" x14ac:dyDescent="0.2">
      <c r="B54" t="s">
        <v>160</v>
      </c>
      <c r="C54" s="12">
        <v>365</v>
      </c>
      <c r="D54" s="8">
        <v>2.2599999999999998</v>
      </c>
      <c r="E54" s="12">
        <v>30</v>
      </c>
      <c r="F54" s="8">
        <v>0.55000000000000004</v>
      </c>
      <c r="G54" s="12">
        <v>335</v>
      </c>
      <c r="H54" s="8">
        <v>3.13</v>
      </c>
      <c r="I54" s="12">
        <v>0</v>
      </c>
    </row>
    <row r="55" spans="2:9" ht="15" customHeight="1" x14ac:dyDescent="0.2">
      <c r="B55" t="s">
        <v>169</v>
      </c>
      <c r="C55" s="12">
        <v>363</v>
      </c>
      <c r="D55" s="8">
        <v>2.2400000000000002</v>
      </c>
      <c r="E55" s="12">
        <v>279</v>
      </c>
      <c r="F55" s="8">
        <v>5.1100000000000003</v>
      </c>
      <c r="G55" s="12">
        <v>84</v>
      </c>
      <c r="H55" s="8">
        <v>0.79</v>
      </c>
      <c r="I55" s="12">
        <v>0</v>
      </c>
    </row>
    <row r="56" spans="2:9" ht="15" customHeight="1" x14ac:dyDescent="0.2">
      <c r="B56" t="s">
        <v>166</v>
      </c>
      <c r="C56" s="12">
        <v>343</v>
      </c>
      <c r="D56" s="8">
        <v>2.12</v>
      </c>
      <c r="E56" s="12">
        <v>19</v>
      </c>
      <c r="F56" s="8">
        <v>0.35</v>
      </c>
      <c r="G56" s="12">
        <v>324</v>
      </c>
      <c r="H56" s="8">
        <v>3.03</v>
      </c>
      <c r="I56" s="12">
        <v>0</v>
      </c>
    </row>
    <row r="57" spans="2:9" ht="15" customHeight="1" x14ac:dyDescent="0.2">
      <c r="B57" t="s">
        <v>161</v>
      </c>
      <c r="C57" s="12">
        <v>308</v>
      </c>
      <c r="D57" s="8">
        <v>1.9</v>
      </c>
      <c r="E57" s="12">
        <v>30</v>
      </c>
      <c r="F57" s="8">
        <v>0.55000000000000004</v>
      </c>
      <c r="G57" s="12">
        <v>278</v>
      </c>
      <c r="H57" s="8">
        <v>2.6</v>
      </c>
      <c r="I57" s="12">
        <v>0</v>
      </c>
    </row>
    <row r="58" spans="2:9" ht="15" customHeight="1" x14ac:dyDescent="0.2">
      <c r="B58" t="s">
        <v>167</v>
      </c>
      <c r="C58" s="12">
        <v>296</v>
      </c>
      <c r="D58" s="8">
        <v>1.83</v>
      </c>
      <c r="E58" s="12">
        <v>61</v>
      </c>
      <c r="F58" s="8">
        <v>1.1200000000000001</v>
      </c>
      <c r="G58" s="12">
        <v>235</v>
      </c>
      <c r="H58" s="8">
        <v>2.2000000000000002</v>
      </c>
      <c r="I58" s="12">
        <v>0</v>
      </c>
    </row>
    <row r="59" spans="2:9" ht="15" customHeight="1" x14ac:dyDescent="0.2">
      <c r="B59" t="s">
        <v>174</v>
      </c>
      <c r="C59" s="12">
        <v>292</v>
      </c>
      <c r="D59" s="8">
        <v>1.81</v>
      </c>
      <c r="E59" s="12">
        <v>264</v>
      </c>
      <c r="F59" s="8">
        <v>4.84</v>
      </c>
      <c r="G59" s="12">
        <v>28</v>
      </c>
      <c r="H59" s="8">
        <v>0.26</v>
      </c>
      <c r="I59" s="12">
        <v>0</v>
      </c>
    </row>
    <row r="60" spans="2:9" ht="15" customHeight="1" x14ac:dyDescent="0.2">
      <c r="B60" t="s">
        <v>171</v>
      </c>
      <c r="C60" s="12">
        <v>262</v>
      </c>
      <c r="D60" s="8">
        <v>1.62</v>
      </c>
      <c r="E60" s="12">
        <v>241</v>
      </c>
      <c r="F60" s="8">
        <v>4.42</v>
      </c>
      <c r="G60" s="12">
        <v>21</v>
      </c>
      <c r="H60" s="8">
        <v>0.2</v>
      </c>
      <c r="I60" s="12">
        <v>0</v>
      </c>
    </row>
    <row r="61" spans="2:9" ht="15" customHeight="1" x14ac:dyDescent="0.2">
      <c r="B61" t="s">
        <v>165</v>
      </c>
      <c r="C61" s="12">
        <v>259</v>
      </c>
      <c r="D61" s="8">
        <v>1.6</v>
      </c>
      <c r="E61" s="12">
        <v>4</v>
      </c>
      <c r="F61" s="8">
        <v>7.0000000000000007E-2</v>
      </c>
      <c r="G61" s="12">
        <v>254</v>
      </c>
      <c r="H61" s="8">
        <v>2.37</v>
      </c>
      <c r="I61" s="12">
        <v>1</v>
      </c>
    </row>
    <row r="62" spans="2:9" ht="15" customHeight="1" x14ac:dyDescent="0.2">
      <c r="B62" t="s">
        <v>199</v>
      </c>
      <c r="C62" s="12">
        <v>256</v>
      </c>
      <c r="D62" s="8">
        <v>1.58</v>
      </c>
      <c r="E62" s="12">
        <v>89</v>
      </c>
      <c r="F62" s="8">
        <v>1.63</v>
      </c>
      <c r="G62" s="12">
        <v>167</v>
      </c>
      <c r="H62" s="8">
        <v>1.56</v>
      </c>
      <c r="I62" s="12">
        <v>0</v>
      </c>
    </row>
    <row r="63" spans="2:9" ht="15" customHeight="1" x14ac:dyDescent="0.2">
      <c r="B63" t="s">
        <v>197</v>
      </c>
      <c r="C63" s="12">
        <v>253</v>
      </c>
      <c r="D63" s="8">
        <v>1.56</v>
      </c>
      <c r="E63" s="12">
        <v>97</v>
      </c>
      <c r="F63" s="8">
        <v>1.78</v>
      </c>
      <c r="G63" s="12">
        <v>156</v>
      </c>
      <c r="H63" s="8">
        <v>1.46</v>
      </c>
      <c r="I63" s="12">
        <v>0</v>
      </c>
    </row>
    <row r="64" spans="2:9" ht="15" customHeight="1" x14ac:dyDescent="0.2">
      <c r="B64" t="s">
        <v>158</v>
      </c>
      <c r="C64" s="12">
        <v>252</v>
      </c>
      <c r="D64" s="8">
        <v>1.56</v>
      </c>
      <c r="E64" s="12">
        <v>125</v>
      </c>
      <c r="F64" s="8">
        <v>2.29</v>
      </c>
      <c r="G64" s="12">
        <v>127</v>
      </c>
      <c r="H64" s="8">
        <v>1.19</v>
      </c>
      <c r="I64" s="12">
        <v>0</v>
      </c>
    </row>
    <row r="65" spans="2:9" ht="15" customHeight="1" x14ac:dyDescent="0.2">
      <c r="B65" t="s">
        <v>176</v>
      </c>
      <c r="C65" s="12">
        <v>236</v>
      </c>
      <c r="D65" s="8">
        <v>1.46</v>
      </c>
      <c r="E65" s="12">
        <v>9</v>
      </c>
      <c r="F65" s="8">
        <v>0.16</v>
      </c>
      <c r="G65" s="12">
        <v>225</v>
      </c>
      <c r="H65" s="8">
        <v>2.1</v>
      </c>
      <c r="I65" s="12">
        <v>2</v>
      </c>
    </row>
    <row r="66" spans="2:9" ht="15" customHeight="1" x14ac:dyDescent="0.2">
      <c r="B66" t="s">
        <v>187</v>
      </c>
      <c r="C66" s="12">
        <v>216</v>
      </c>
      <c r="D66" s="8">
        <v>1.34</v>
      </c>
      <c r="E66" s="12">
        <v>34</v>
      </c>
      <c r="F66" s="8">
        <v>0.62</v>
      </c>
      <c r="G66" s="12">
        <v>182</v>
      </c>
      <c r="H66" s="8">
        <v>1.7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39F8-D62C-4542-AAD8-2EA6BF33762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574</v>
      </c>
      <c r="D6" s="8">
        <v>3.65</v>
      </c>
      <c r="E6" s="12">
        <v>32</v>
      </c>
      <c r="F6" s="8">
        <v>0.94</v>
      </c>
      <c r="G6" s="12">
        <v>542</v>
      </c>
      <c r="H6" s="8">
        <v>4.41</v>
      </c>
      <c r="I6" s="12">
        <v>0</v>
      </c>
    </row>
    <row r="7" spans="2:9" ht="15" customHeight="1" x14ac:dyDescent="0.2">
      <c r="B7" t="s">
        <v>67</v>
      </c>
      <c r="C7" s="12">
        <v>606</v>
      </c>
      <c r="D7" s="8">
        <v>3.86</v>
      </c>
      <c r="E7" s="12">
        <v>48</v>
      </c>
      <c r="F7" s="8">
        <v>1.41</v>
      </c>
      <c r="G7" s="12">
        <v>558</v>
      </c>
      <c r="H7" s="8">
        <v>4.55</v>
      </c>
      <c r="I7" s="12">
        <v>0</v>
      </c>
    </row>
    <row r="8" spans="2:9" ht="15" customHeight="1" x14ac:dyDescent="0.2">
      <c r="B8" t="s">
        <v>68</v>
      </c>
      <c r="C8" s="12">
        <v>12</v>
      </c>
      <c r="D8" s="8">
        <v>0.08</v>
      </c>
      <c r="E8" s="12">
        <v>0</v>
      </c>
      <c r="F8" s="8">
        <v>0</v>
      </c>
      <c r="G8" s="12">
        <v>12</v>
      </c>
      <c r="H8" s="8">
        <v>0.1</v>
      </c>
      <c r="I8" s="12">
        <v>0</v>
      </c>
    </row>
    <row r="9" spans="2:9" ht="15" customHeight="1" x14ac:dyDescent="0.2">
      <c r="B9" t="s">
        <v>69</v>
      </c>
      <c r="C9" s="12">
        <v>1213</v>
      </c>
      <c r="D9" s="8">
        <v>7.72</v>
      </c>
      <c r="E9" s="12">
        <v>22</v>
      </c>
      <c r="F9" s="8">
        <v>0.64</v>
      </c>
      <c r="G9" s="12">
        <v>1191</v>
      </c>
      <c r="H9" s="8">
        <v>9.6999999999999993</v>
      </c>
      <c r="I9" s="12">
        <v>0</v>
      </c>
    </row>
    <row r="10" spans="2:9" ht="15" customHeight="1" x14ac:dyDescent="0.2">
      <c r="B10" t="s">
        <v>70</v>
      </c>
      <c r="C10" s="12">
        <v>79</v>
      </c>
      <c r="D10" s="8">
        <v>0.5</v>
      </c>
      <c r="E10" s="12">
        <v>4</v>
      </c>
      <c r="F10" s="8">
        <v>0.12</v>
      </c>
      <c r="G10" s="12">
        <v>74</v>
      </c>
      <c r="H10" s="8">
        <v>0.6</v>
      </c>
      <c r="I10" s="12">
        <v>1</v>
      </c>
    </row>
    <row r="11" spans="2:9" ht="15" customHeight="1" x14ac:dyDescent="0.2">
      <c r="B11" t="s">
        <v>71</v>
      </c>
      <c r="C11" s="12">
        <v>3373</v>
      </c>
      <c r="D11" s="8">
        <v>21.47</v>
      </c>
      <c r="E11" s="12">
        <v>418</v>
      </c>
      <c r="F11" s="8">
        <v>12.25</v>
      </c>
      <c r="G11" s="12">
        <v>2954</v>
      </c>
      <c r="H11" s="8">
        <v>24.06</v>
      </c>
      <c r="I11" s="12">
        <v>1</v>
      </c>
    </row>
    <row r="12" spans="2:9" ht="15" customHeight="1" x14ac:dyDescent="0.2">
      <c r="B12" t="s">
        <v>72</v>
      </c>
      <c r="C12" s="12">
        <v>88</v>
      </c>
      <c r="D12" s="8">
        <v>0.56000000000000005</v>
      </c>
      <c r="E12" s="12">
        <v>3</v>
      </c>
      <c r="F12" s="8">
        <v>0.09</v>
      </c>
      <c r="G12" s="12">
        <v>85</v>
      </c>
      <c r="H12" s="8">
        <v>0.69</v>
      </c>
      <c r="I12" s="12">
        <v>0</v>
      </c>
    </row>
    <row r="13" spans="2:9" ht="15" customHeight="1" x14ac:dyDescent="0.2">
      <c r="B13" t="s">
        <v>73</v>
      </c>
      <c r="C13" s="12">
        <v>2350</v>
      </c>
      <c r="D13" s="8">
        <v>14.96</v>
      </c>
      <c r="E13" s="12">
        <v>199</v>
      </c>
      <c r="F13" s="8">
        <v>5.83</v>
      </c>
      <c r="G13" s="12">
        <v>2145</v>
      </c>
      <c r="H13" s="8">
        <v>17.47</v>
      </c>
      <c r="I13" s="12">
        <v>6</v>
      </c>
    </row>
    <row r="14" spans="2:9" ht="15" customHeight="1" x14ac:dyDescent="0.2">
      <c r="B14" t="s">
        <v>74</v>
      </c>
      <c r="C14" s="12">
        <v>2515</v>
      </c>
      <c r="D14" s="8">
        <v>16.010000000000002</v>
      </c>
      <c r="E14" s="12">
        <v>684</v>
      </c>
      <c r="F14" s="8">
        <v>20.05</v>
      </c>
      <c r="G14" s="12">
        <v>1830</v>
      </c>
      <c r="H14" s="8">
        <v>14.91</v>
      </c>
      <c r="I14" s="12">
        <v>1</v>
      </c>
    </row>
    <row r="15" spans="2:9" ht="15" customHeight="1" x14ac:dyDescent="0.2">
      <c r="B15" t="s">
        <v>75</v>
      </c>
      <c r="C15" s="12">
        <v>1592</v>
      </c>
      <c r="D15" s="8">
        <v>10.130000000000001</v>
      </c>
      <c r="E15" s="12">
        <v>790</v>
      </c>
      <c r="F15" s="8">
        <v>23.16</v>
      </c>
      <c r="G15" s="12">
        <v>802</v>
      </c>
      <c r="H15" s="8">
        <v>6.53</v>
      </c>
      <c r="I15" s="12">
        <v>0</v>
      </c>
    </row>
    <row r="16" spans="2:9" ht="15" customHeight="1" x14ac:dyDescent="0.2">
      <c r="B16" t="s">
        <v>76</v>
      </c>
      <c r="C16" s="12">
        <v>1593</v>
      </c>
      <c r="D16" s="8">
        <v>10.14</v>
      </c>
      <c r="E16" s="12">
        <v>670</v>
      </c>
      <c r="F16" s="8">
        <v>19.64</v>
      </c>
      <c r="G16" s="12">
        <v>923</v>
      </c>
      <c r="H16" s="8">
        <v>7.52</v>
      </c>
      <c r="I16" s="12">
        <v>0</v>
      </c>
    </row>
    <row r="17" spans="2:9" ht="15" customHeight="1" x14ac:dyDescent="0.2">
      <c r="B17" t="s">
        <v>77</v>
      </c>
      <c r="C17" s="12">
        <v>464</v>
      </c>
      <c r="D17" s="8">
        <v>2.95</v>
      </c>
      <c r="E17" s="12">
        <v>156</v>
      </c>
      <c r="F17" s="8">
        <v>4.57</v>
      </c>
      <c r="G17" s="12">
        <v>307</v>
      </c>
      <c r="H17" s="8">
        <v>2.5</v>
      </c>
      <c r="I17" s="12">
        <v>1</v>
      </c>
    </row>
    <row r="18" spans="2:9" ht="15" customHeight="1" x14ac:dyDescent="0.2">
      <c r="B18" t="s">
        <v>78</v>
      </c>
      <c r="C18" s="12">
        <v>560</v>
      </c>
      <c r="D18" s="8">
        <v>3.57</v>
      </c>
      <c r="E18" s="12">
        <v>360</v>
      </c>
      <c r="F18" s="8">
        <v>10.55</v>
      </c>
      <c r="G18" s="12">
        <v>196</v>
      </c>
      <c r="H18" s="8">
        <v>1.6</v>
      </c>
      <c r="I18" s="12">
        <v>1</v>
      </c>
    </row>
    <row r="19" spans="2:9" ht="15" customHeight="1" x14ac:dyDescent="0.2">
      <c r="B19" t="s">
        <v>79</v>
      </c>
      <c r="C19" s="12">
        <v>689</v>
      </c>
      <c r="D19" s="8">
        <v>4.3899999999999997</v>
      </c>
      <c r="E19" s="12">
        <v>25</v>
      </c>
      <c r="F19" s="8">
        <v>0.73</v>
      </c>
      <c r="G19" s="12">
        <v>658</v>
      </c>
      <c r="H19" s="8">
        <v>5.36</v>
      </c>
      <c r="I19" s="12">
        <v>4</v>
      </c>
    </row>
    <row r="20" spans="2:9" ht="15" customHeight="1" x14ac:dyDescent="0.2">
      <c r="B20" s="9" t="s">
        <v>280</v>
      </c>
      <c r="C20" s="12">
        <f>SUM(LTBL_13113[総数／事業所数])</f>
        <v>15708</v>
      </c>
      <c r="E20" s="12">
        <f>SUBTOTAL(109,LTBL_13113[個人／事業所数])</f>
        <v>3411</v>
      </c>
      <c r="G20" s="12">
        <f>SUBTOTAL(109,LTBL_13113[法人／事業所数])</f>
        <v>12277</v>
      </c>
      <c r="I20" s="12">
        <f>SUBTOTAL(109,LTBL_13113[法人以外の団体／事業所数])</f>
        <v>15</v>
      </c>
    </row>
    <row r="21" spans="2:9" ht="15" customHeight="1" x14ac:dyDescent="0.2">
      <c r="E21" s="11">
        <f>LTBL_13113[[#Totals],[個人／事業所数]]/LTBL_13113[[#Totals],[総数／事業所数]]</f>
        <v>0.21715049656226126</v>
      </c>
      <c r="G21" s="11">
        <f>LTBL_13113[[#Totals],[法人／事業所数]]/LTBL_13113[[#Totals],[総数／事業所数]]</f>
        <v>0.78157626687038451</v>
      </c>
      <c r="I21" s="11">
        <f>LTBL_13113[[#Totals],[法人以外の団体／事業所数]]/LTBL_13113[[#Totals],[総数／事業所数]]</f>
        <v>9.5492742551566085E-4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101</v>
      </c>
      <c r="C24" s="12">
        <v>1754</v>
      </c>
      <c r="D24" s="8">
        <v>11.17</v>
      </c>
      <c r="E24" s="12">
        <v>586</v>
      </c>
      <c r="F24" s="8">
        <v>17.18</v>
      </c>
      <c r="G24" s="12">
        <v>1167</v>
      </c>
      <c r="H24" s="8">
        <v>9.51</v>
      </c>
      <c r="I24" s="12">
        <v>1</v>
      </c>
    </row>
    <row r="25" spans="2:9" ht="15" customHeight="1" x14ac:dyDescent="0.2">
      <c r="B25" t="s">
        <v>100</v>
      </c>
      <c r="C25" s="12">
        <v>1693</v>
      </c>
      <c r="D25" s="8">
        <v>10.78</v>
      </c>
      <c r="E25" s="12">
        <v>172</v>
      </c>
      <c r="F25" s="8">
        <v>5.04</v>
      </c>
      <c r="G25" s="12">
        <v>1515</v>
      </c>
      <c r="H25" s="8">
        <v>12.34</v>
      </c>
      <c r="I25" s="12">
        <v>6</v>
      </c>
    </row>
    <row r="26" spans="2:9" ht="15" customHeight="1" x14ac:dyDescent="0.2">
      <c r="B26" t="s">
        <v>103</v>
      </c>
      <c r="C26" s="12">
        <v>1494</v>
      </c>
      <c r="D26" s="8">
        <v>9.51</v>
      </c>
      <c r="E26" s="12">
        <v>779</v>
      </c>
      <c r="F26" s="8">
        <v>22.84</v>
      </c>
      <c r="G26" s="12">
        <v>715</v>
      </c>
      <c r="H26" s="8">
        <v>5.82</v>
      </c>
      <c r="I26" s="12">
        <v>0</v>
      </c>
    </row>
    <row r="27" spans="2:9" ht="15" customHeight="1" x14ac:dyDescent="0.2">
      <c r="B27" t="s">
        <v>104</v>
      </c>
      <c r="C27" s="12">
        <v>1086</v>
      </c>
      <c r="D27" s="8">
        <v>6.91</v>
      </c>
      <c r="E27" s="12">
        <v>602</v>
      </c>
      <c r="F27" s="8">
        <v>17.649999999999999</v>
      </c>
      <c r="G27" s="12">
        <v>484</v>
      </c>
      <c r="H27" s="8">
        <v>3.94</v>
      </c>
      <c r="I27" s="12">
        <v>0</v>
      </c>
    </row>
    <row r="28" spans="2:9" ht="15" customHeight="1" x14ac:dyDescent="0.2">
      <c r="B28" t="s">
        <v>95</v>
      </c>
      <c r="C28" s="12">
        <v>869</v>
      </c>
      <c r="D28" s="8">
        <v>5.53</v>
      </c>
      <c r="E28" s="12">
        <v>82</v>
      </c>
      <c r="F28" s="8">
        <v>2.4</v>
      </c>
      <c r="G28" s="12">
        <v>787</v>
      </c>
      <c r="H28" s="8">
        <v>6.41</v>
      </c>
      <c r="I28" s="12">
        <v>0</v>
      </c>
    </row>
    <row r="29" spans="2:9" ht="15" customHeight="1" x14ac:dyDescent="0.2">
      <c r="B29" t="s">
        <v>98</v>
      </c>
      <c r="C29" s="12">
        <v>858</v>
      </c>
      <c r="D29" s="8">
        <v>5.46</v>
      </c>
      <c r="E29" s="12">
        <v>185</v>
      </c>
      <c r="F29" s="8">
        <v>5.42</v>
      </c>
      <c r="G29" s="12">
        <v>672</v>
      </c>
      <c r="H29" s="8">
        <v>5.47</v>
      </c>
      <c r="I29" s="12">
        <v>1</v>
      </c>
    </row>
    <row r="30" spans="2:9" ht="15" customHeight="1" x14ac:dyDescent="0.2">
      <c r="B30" t="s">
        <v>99</v>
      </c>
      <c r="C30" s="12">
        <v>595</v>
      </c>
      <c r="D30" s="8">
        <v>3.79</v>
      </c>
      <c r="E30" s="12">
        <v>18</v>
      </c>
      <c r="F30" s="8">
        <v>0.53</v>
      </c>
      <c r="G30" s="12">
        <v>577</v>
      </c>
      <c r="H30" s="8">
        <v>4.7</v>
      </c>
      <c r="I30" s="12">
        <v>0</v>
      </c>
    </row>
    <row r="31" spans="2:9" ht="15" customHeight="1" x14ac:dyDescent="0.2">
      <c r="B31" t="s">
        <v>102</v>
      </c>
      <c r="C31" s="12">
        <v>526</v>
      </c>
      <c r="D31" s="8">
        <v>3.35</v>
      </c>
      <c r="E31" s="12">
        <v>94</v>
      </c>
      <c r="F31" s="8">
        <v>2.76</v>
      </c>
      <c r="G31" s="12">
        <v>432</v>
      </c>
      <c r="H31" s="8">
        <v>3.52</v>
      </c>
      <c r="I31" s="12">
        <v>0</v>
      </c>
    </row>
    <row r="32" spans="2:9" ht="15" customHeight="1" x14ac:dyDescent="0.2">
      <c r="B32" t="s">
        <v>92</v>
      </c>
      <c r="C32" s="12">
        <v>522</v>
      </c>
      <c r="D32" s="8">
        <v>3.32</v>
      </c>
      <c r="E32" s="12">
        <v>12</v>
      </c>
      <c r="F32" s="8">
        <v>0.35</v>
      </c>
      <c r="G32" s="12">
        <v>510</v>
      </c>
      <c r="H32" s="8">
        <v>4.1500000000000004</v>
      </c>
      <c r="I32" s="12">
        <v>0</v>
      </c>
    </row>
    <row r="33" spans="2:9" ht="15" customHeight="1" x14ac:dyDescent="0.2">
      <c r="B33" t="s">
        <v>107</v>
      </c>
      <c r="C33" s="12">
        <v>505</v>
      </c>
      <c r="D33" s="8">
        <v>3.21</v>
      </c>
      <c r="E33" s="12">
        <v>17</v>
      </c>
      <c r="F33" s="8">
        <v>0.5</v>
      </c>
      <c r="G33" s="12">
        <v>485</v>
      </c>
      <c r="H33" s="8">
        <v>3.95</v>
      </c>
      <c r="I33" s="12">
        <v>3</v>
      </c>
    </row>
    <row r="34" spans="2:9" ht="15" customHeight="1" x14ac:dyDescent="0.2">
      <c r="B34" t="s">
        <v>106</v>
      </c>
      <c r="C34" s="12">
        <v>491</v>
      </c>
      <c r="D34" s="8">
        <v>3.13</v>
      </c>
      <c r="E34" s="12">
        <v>359</v>
      </c>
      <c r="F34" s="8">
        <v>10.52</v>
      </c>
      <c r="G34" s="12">
        <v>132</v>
      </c>
      <c r="H34" s="8">
        <v>1.08</v>
      </c>
      <c r="I34" s="12">
        <v>0</v>
      </c>
    </row>
    <row r="35" spans="2:9" ht="15" customHeight="1" x14ac:dyDescent="0.2">
      <c r="B35" t="s">
        <v>105</v>
      </c>
      <c r="C35" s="12">
        <v>464</v>
      </c>
      <c r="D35" s="8">
        <v>2.95</v>
      </c>
      <c r="E35" s="12">
        <v>156</v>
      </c>
      <c r="F35" s="8">
        <v>4.57</v>
      </c>
      <c r="G35" s="12">
        <v>307</v>
      </c>
      <c r="H35" s="8">
        <v>2.5</v>
      </c>
      <c r="I35" s="12">
        <v>1</v>
      </c>
    </row>
    <row r="36" spans="2:9" ht="15" customHeight="1" x14ac:dyDescent="0.2">
      <c r="B36" t="s">
        <v>91</v>
      </c>
      <c r="C36" s="12">
        <v>391</v>
      </c>
      <c r="D36" s="8">
        <v>2.4900000000000002</v>
      </c>
      <c r="E36" s="12">
        <v>6</v>
      </c>
      <c r="F36" s="8">
        <v>0.18</v>
      </c>
      <c r="G36" s="12">
        <v>385</v>
      </c>
      <c r="H36" s="8">
        <v>3.14</v>
      </c>
      <c r="I36" s="12">
        <v>0</v>
      </c>
    </row>
    <row r="37" spans="2:9" ht="15" customHeight="1" x14ac:dyDescent="0.2">
      <c r="B37" t="s">
        <v>112</v>
      </c>
      <c r="C37" s="12">
        <v>386</v>
      </c>
      <c r="D37" s="8">
        <v>2.46</v>
      </c>
      <c r="E37" s="12">
        <v>7</v>
      </c>
      <c r="F37" s="8">
        <v>0.21</v>
      </c>
      <c r="G37" s="12">
        <v>379</v>
      </c>
      <c r="H37" s="8">
        <v>3.09</v>
      </c>
      <c r="I37" s="12">
        <v>0</v>
      </c>
    </row>
    <row r="38" spans="2:9" ht="15" customHeight="1" x14ac:dyDescent="0.2">
      <c r="B38" t="s">
        <v>114</v>
      </c>
      <c r="C38" s="12">
        <v>322</v>
      </c>
      <c r="D38" s="8">
        <v>2.0499999999999998</v>
      </c>
      <c r="E38" s="12">
        <v>35</v>
      </c>
      <c r="F38" s="8">
        <v>1.03</v>
      </c>
      <c r="G38" s="12">
        <v>287</v>
      </c>
      <c r="H38" s="8">
        <v>2.34</v>
      </c>
      <c r="I38" s="12">
        <v>0</v>
      </c>
    </row>
    <row r="39" spans="2:9" ht="15" customHeight="1" x14ac:dyDescent="0.2">
      <c r="B39" t="s">
        <v>96</v>
      </c>
      <c r="C39" s="12">
        <v>319</v>
      </c>
      <c r="D39" s="8">
        <v>2.0299999999999998</v>
      </c>
      <c r="E39" s="12">
        <v>99</v>
      </c>
      <c r="F39" s="8">
        <v>2.9</v>
      </c>
      <c r="G39" s="12">
        <v>220</v>
      </c>
      <c r="H39" s="8">
        <v>1.79</v>
      </c>
      <c r="I39" s="12">
        <v>0</v>
      </c>
    </row>
    <row r="40" spans="2:9" ht="15" customHeight="1" x14ac:dyDescent="0.2">
      <c r="B40" t="s">
        <v>94</v>
      </c>
      <c r="C40" s="12">
        <v>292</v>
      </c>
      <c r="D40" s="8">
        <v>1.86</v>
      </c>
      <c r="E40" s="12">
        <v>5</v>
      </c>
      <c r="F40" s="8">
        <v>0.15</v>
      </c>
      <c r="G40" s="12">
        <v>287</v>
      </c>
      <c r="H40" s="8">
        <v>2.34</v>
      </c>
      <c r="I40" s="12">
        <v>0</v>
      </c>
    </row>
    <row r="41" spans="2:9" ht="15" customHeight="1" x14ac:dyDescent="0.2">
      <c r="B41" t="s">
        <v>122</v>
      </c>
      <c r="C41" s="12">
        <v>285</v>
      </c>
      <c r="D41" s="8">
        <v>1.81</v>
      </c>
      <c r="E41" s="12">
        <v>4</v>
      </c>
      <c r="F41" s="8">
        <v>0.12</v>
      </c>
      <c r="G41" s="12">
        <v>281</v>
      </c>
      <c r="H41" s="8">
        <v>2.29</v>
      </c>
      <c r="I41" s="12">
        <v>0</v>
      </c>
    </row>
    <row r="42" spans="2:9" ht="15" customHeight="1" x14ac:dyDescent="0.2">
      <c r="B42" t="s">
        <v>88</v>
      </c>
      <c r="C42" s="12">
        <v>219</v>
      </c>
      <c r="D42" s="8">
        <v>1.39</v>
      </c>
      <c r="E42" s="12">
        <v>8</v>
      </c>
      <c r="F42" s="8">
        <v>0.23</v>
      </c>
      <c r="G42" s="12">
        <v>211</v>
      </c>
      <c r="H42" s="8">
        <v>1.72</v>
      </c>
      <c r="I42" s="12">
        <v>0</v>
      </c>
    </row>
    <row r="43" spans="2:9" ht="15" customHeight="1" x14ac:dyDescent="0.2">
      <c r="B43" t="s">
        <v>113</v>
      </c>
      <c r="C43" s="12">
        <v>217</v>
      </c>
      <c r="D43" s="8">
        <v>1.38</v>
      </c>
      <c r="E43" s="12">
        <v>1</v>
      </c>
      <c r="F43" s="8">
        <v>0.03</v>
      </c>
      <c r="G43" s="12">
        <v>216</v>
      </c>
      <c r="H43" s="8">
        <v>1.76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695</v>
      </c>
      <c r="D47" s="8">
        <v>4.42</v>
      </c>
      <c r="E47" s="12">
        <v>91</v>
      </c>
      <c r="F47" s="8">
        <v>2.67</v>
      </c>
      <c r="G47" s="12">
        <v>604</v>
      </c>
      <c r="H47" s="8">
        <v>4.92</v>
      </c>
      <c r="I47" s="12">
        <v>0</v>
      </c>
    </row>
    <row r="48" spans="2:9" ht="15" customHeight="1" x14ac:dyDescent="0.2">
      <c r="B48" t="s">
        <v>172</v>
      </c>
      <c r="C48" s="12">
        <v>637</v>
      </c>
      <c r="D48" s="8">
        <v>4.0599999999999996</v>
      </c>
      <c r="E48" s="12">
        <v>379</v>
      </c>
      <c r="F48" s="8">
        <v>11.11</v>
      </c>
      <c r="G48" s="12">
        <v>258</v>
      </c>
      <c r="H48" s="8">
        <v>2.1</v>
      </c>
      <c r="I48" s="12">
        <v>0</v>
      </c>
    </row>
    <row r="49" spans="2:9" ht="15" customHeight="1" x14ac:dyDescent="0.2">
      <c r="B49" t="s">
        <v>168</v>
      </c>
      <c r="C49" s="12">
        <v>565</v>
      </c>
      <c r="D49" s="8">
        <v>3.6</v>
      </c>
      <c r="E49" s="12">
        <v>267</v>
      </c>
      <c r="F49" s="8">
        <v>7.83</v>
      </c>
      <c r="G49" s="12">
        <v>298</v>
      </c>
      <c r="H49" s="8">
        <v>2.4300000000000002</v>
      </c>
      <c r="I49" s="12">
        <v>0</v>
      </c>
    </row>
    <row r="50" spans="2:9" ht="15" customHeight="1" x14ac:dyDescent="0.2">
      <c r="B50" t="s">
        <v>161</v>
      </c>
      <c r="C50" s="12">
        <v>525</v>
      </c>
      <c r="D50" s="8">
        <v>3.34</v>
      </c>
      <c r="E50" s="12">
        <v>69</v>
      </c>
      <c r="F50" s="8">
        <v>2.02</v>
      </c>
      <c r="G50" s="12">
        <v>456</v>
      </c>
      <c r="H50" s="8">
        <v>3.71</v>
      </c>
      <c r="I50" s="12">
        <v>0</v>
      </c>
    </row>
    <row r="51" spans="2:9" ht="15" customHeight="1" x14ac:dyDescent="0.2">
      <c r="B51" t="s">
        <v>160</v>
      </c>
      <c r="C51" s="12">
        <v>449</v>
      </c>
      <c r="D51" s="8">
        <v>2.86</v>
      </c>
      <c r="E51" s="12">
        <v>18</v>
      </c>
      <c r="F51" s="8">
        <v>0.53</v>
      </c>
      <c r="G51" s="12">
        <v>431</v>
      </c>
      <c r="H51" s="8">
        <v>3.51</v>
      </c>
      <c r="I51" s="12">
        <v>0</v>
      </c>
    </row>
    <row r="52" spans="2:9" ht="15" customHeight="1" x14ac:dyDescent="0.2">
      <c r="B52" t="s">
        <v>187</v>
      </c>
      <c r="C52" s="12">
        <v>449</v>
      </c>
      <c r="D52" s="8">
        <v>2.86</v>
      </c>
      <c r="E52" s="12">
        <v>64</v>
      </c>
      <c r="F52" s="8">
        <v>1.88</v>
      </c>
      <c r="G52" s="12">
        <v>385</v>
      </c>
      <c r="H52" s="8">
        <v>3.14</v>
      </c>
      <c r="I52" s="12">
        <v>0</v>
      </c>
    </row>
    <row r="53" spans="2:9" ht="15" customHeight="1" x14ac:dyDescent="0.2">
      <c r="B53" t="s">
        <v>163</v>
      </c>
      <c r="C53" s="12">
        <v>445</v>
      </c>
      <c r="D53" s="8">
        <v>2.83</v>
      </c>
      <c r="E53" s="12">
        <v>8</v>
      </c>
      <c r="F53" s="8">
        <v>0.23</v>
      </c>
      <c r="G53" s="12">
        <v>432</v>
      </c>
      <c r="H53" s="8">
        <v>3.52</v>
      </c>
      <c r="I53" s="12">
        <v>5</v>
      </c>
    </row>
    <row r="54" spans="2:9" ht="15" customHeight="1" x14ac:dyDescent="0.2">
      <c r="B54" t="s">
        <v>176</v>
      </c>
      <c r="C54" s="12">
        <v>420</v>
      </c>
      <c r="D54" s="8">
        <v>2.67</v>
      </c>
      <c r="E54" s="12">
        <v>15</v>
      </c>
      <c r="F54" s="8">
        <v>0.44</v>
      </c>
      <c r="G54" s="12">
        <v>402</v>
      </c>
      <c r="H54" s="8">
        <v>3.27</v>
      </c>
      <c r="I54" s="12">
        <v>3</v>
      </c>
    </row>
    <row r="55" spans="2:9" ht="15" customHeight="1" x14ac:dyDescent="0.2">
      <c r="B55" t="s">
        <v>166</v>
      </c>
      <c r="C55" s="12">
        <v>398</v>
      </c>
      <c r="D55" s="8">
        <v>2.5299999999999998</v>
      </c>
      <c r="E55" s="12">
        <v>18</v>
      </c>
      <c r="F55" s="8">
        <v>0.53</v>
      </c>
      <c r="G55" s="12">
        <v>379</v>
      </c>
      <c r="H55" s="8">
        <v>3.09</v>
      </c>
      <c r="I55" s="12">
        <v>1</v>
      </c>
    </row>
    <row r="56" spans="2:9" ht="15" customHeight="1" x14ac:dyDescent="0.2">
      <c r="B56" t="s">
        <v>199</v>
      </c>
      <c r="C56" s="12">
        <v>386</v>
      </c>
      <c r="D56" s="8">
        <v>2.46</v>
      </c>
      <c r="E56" s="12">
        <v>42</v>
      </c>
      <c r="F56" s="8">
        <v>1.23</v>
      </c>
      <c r="G56" s="12">
        <v>344</v>
      </c>
      <c r="H56" s="8">
        <v>2.8</v>
      </c>
      <c r="I56" s="12">
        <v>0</v>
      </c>
    </row>
    <row r="57" spans="2:9" ht="15" customHeight="1" x14ac:dyDescent="0.2">
      <c r="B57" t="s">
        <v>167</v>
      </c>
      <c r="C57" s="12">
        <v>376</v>
      </c>
      <c r="D57" s="8">
        <v>2.39</v>
      </c>
      <c r="E57" s="12">
        <v>52</v>
      </c>
      <c r="F57" s="8">
        <v>1.52</v>
      </c>
      <c r="G57" s="12">
        <v>324</v>
      </c>
      <c r="H57" s="8">
        <v>2.64</v>
      </c>
      <c r="I57" s="12">
        <v>0</v>
      </c>
    </row>
    <row r="58" spans="2:9" ht="15" customHeight="1" x14ac:dyDescent="0.2">
      <c r="B58" t="s">
        <v>165</v>
      </c>
      <c r="C58" s="12">
        <v>347</v>
      </c>
      <c r="D58" s="8">
        <v>2.21</v>
      </c>
      <c r="E58" s="12">
        <v>4</v>
      </c>
      <c r="F58" s="8">
        <v>0.12</v>
      </c>
      <c r="G58" s="12">
        <v>343</v>
      </c>
      <c r="H58" s="8">
        <v>2.79</v>
      </c>
      <c r="I58" s="12">
        <v>0</v>
      </c>
    </row>
    <row r="59" spans="2:9" ht="15" customHeight="1" x14ac:dyDescent="0.2">
      <c r="B59" t="s">
        <v>159</v>
      </c>
      <c r="C59" s="12">
        <v>345</v>
      </c>
      <c r="D59" s="8">
        <v>2.2000000000000002</v>
      </c>
      <c r="E59" s="12">
        <v>103</v>
      </c>
      <c r="F59" s="8">
        <v>3.02</v>
      </c>
      <c r="G59" s="12">
        <v>241</v>
      </c>
      <c r="H59" s="8">
        <v>1.96</v>
      </c>
      <c r="I59" s="12">
        <v>1</v>
      </c>
    </row>
    <row r="60" spans="2:9" ht="15" customHeight="1" x14ac:dyDescent="0.2">
      <c r="B60" t="s">
        <v>157</v>
      </c>
      <c r="C60" s="12">
        <v>318</v>
      </c>
      <c r="D60" s="8">
        <v>2.02</v>
      </c>
      <c r="E60" s="12">
        <v>2</v>
      </c>
      <c r="F60" s="8">
        <v>0.06</v>
      </c>
      <c r="G60" s="12">
        <v>316</v>
      </c>
      <c r="H60" s="8">
        <v>2.57</v>
      </c>
      <c r="I60" s="12">
        <v>0</v>
      </c>
    </row>
    <row r="61" spans="2:9" ht="15" customHeight="1" x14ac:dyDescent="0.2">
      <c r="B61" t="s">
        <v>173</v>
      </c>
      <c r="C61" s="12">
        <v>310</v>
      </c>
      <c r="D61" s="8">
        <v>1.97</v>
      </c>
      <c r="E61" s="12">
        <v>133</v>
      </c>
      <c r="F61" s="8">
        <v>3.9</v>
      </c>
      <c r="G61" s="12">
        <v>177</v>
      </c>
      <c r="H61" s="8">
        <v>1.44</v>
      </c>
      <c r="I61" s="12">
        <v>0</v>
      </c>
    </row>
    <row r="62" spans="2:9" ht="15" customHeight="1" x14ac:dyDescent="0.2">
      <c r="B62" t="s">
        <v>175</v>
      </c>
      <c r="C62" s="12">
        <v>299</v>
      </c>
      <c r="D62" s="8">
        <v>1.9</v>
      </c>
      <c r="E62" s="12">
        <v>204</v>
      </c>
      <c r="F62" s="8">
        <v>5.98</v>
      </c>
      <c r="G62" s="12">
        <v>95</v>
      </c>
      <c r="H62" s="8">
        <v>0.77</v>
      </c>
      <c r="I62" s="12">
        <v>0</v>
      </c>
    </row>
    <row r="63" spans="2:9" ht="15" customHeight="1" x14ac:dyDescent="0.2">
      <c r="B63" t="s">
        <v>169</v>
      </c>
      <c r="C63" s="12">
        <v>296</v>
      </c>
      <c r="D63" s="8">
        <v>1.88</v>
      </c>
      <c r="E63" s="12">
        <v>156</v>
      </c>
      <c r="F63" s="8">
        <v>4.57</v>
      </c>
      <c r="G63" s="12">
        <v>140</v>
      </c>
      <c r="H63" s="8">
        <v>1.1399999999999999</v>
      </c>
      <c r="I63" s="12">
        <v>0</v>
      </c>
    </row>
    <row r="64" spans="2:9" ht="15" customHeight="1" x14ac:dyDescent="0.2">
      <c r="B64" t="s">
        <v>203</v>
      </c>
      <c r="C64" s="12">
        <v>285</v>
      </c>
      <c r="D64" s="8">
        <v>1.81</v>
      </c>
      <c r="E64" s="12">
        <v>4</v>
      </c>
      <c r="F64" s="8">
        <v>0.12</v>
      </c>
      <c r="G64" s="12">
        <v>281</v>
      </c>
      <c r="H64" s="8">
        <v>2.29</v>
      </c>
      <c r="I64" s="12">
        <v>0</v>
      </c>
    </row>
    <row r="65" spans="2:9" ht="15" customHeight="1" x14ac:dyDescent="0.2">
      <c r="B65" t="s">
        <v>164</v>
      </c>
      <c r="C65" s="12">
        <v>280</v>
      </c>
      <c r="D65" s="8">
        <v>1.78</v>
      </c>
      <c r="E65" s="12">
        <v>257</v>
      </c>
      <c r="F65" s="8">
        <v>7.53</v>
      </c>
      <c r="G65" s="12">
        <v>23</v>
      </c>
      <c r="H65" s="8">
        <v>0.19</v>
      </c>
      <c r="I65" s="12">
        <v>0</v>
      </c>
    </row>
    <row r="66" spans="2:9" ht="15" customHeight="1" x14ac:dyDescent="0.2">
      <c r="B66" t="s">
        <v>170</v>
      </c>
      <c r="C66" s="12">
        <v>270</v>
      </c>
      <c r="D66" s="8">
        <v>1.72</v>
      </c>
      <c r="E66" s="12">
        <v>182</v>
      </c>
      <c r="F66" s="8">
        <v>5.34</v>
      </c>
      <c r="G66" s="12">
        <v>88</v>
      </c>
      <c r="H66" s="8">
        <v>0.72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F246-35B1-47F7-9378-90CAE12F0A6E}">
  <sheetPr>
    <pageSetUpPr fitToPage="1"/>
  </sheetPr>
  <dimension ref="A1:H104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80</v>
      </c>
      <c r="B1" s="7" t="s">
        <v>81</v>
      </c>
      <c r="C1" s="7" t="s">
        <v>82</v>
      </c>
      <c r="D1" s="7" t="s">
        <v>83</v>
      </c>
      <c r="E1" s="7" t="s">
        <v>84</v>
      </c>
      <c r="F1" s="7" t="s">
        <v>85</v>
      </c>
      <c r="G1" s="7" t="s">
        <v>86</v>
      </c>
      <c r="H1" s="7" t="s">
        <v>87</v>
      </c>
    </row>
    <row r="2" spans="1:8" x14ac:dyDescent="0.2">
      <c r="A2" s="1" t="s">
        <v>0</v>
      </c>
      <c r="B2" s="4">
        <v>339652</v>
      </c>
      <c r="C2" s="5">
        <v>99.999999999999986</v>
      </c>
      <c r="D2" s="4">
        <v>115509</v>
      </c>
      <c r="E2" s="5">
        <v>100.02</v>
      </c>
      <c r="F2" s="4">
        <v>223275</v>
      </c>
      <c r="G2" s="5">
        <v>99.999999999999986</v>
      </c>
      <c r="H2" s="4">
        <v>366</v>
      </c>
    </row>
    <row r="3" spans="1:8" x14ac:dyDescent="0.2">
      <c r="A3" s="2" t="s">
        <v>65</v>
      </c>
      <c r="B3" s="4">
        <v>21</v>
      </c>
      <c r="C3" s="5">
        <v>0.01</v>
      </c>
      <c r="D3" s="4">
        <v>0</v>
      </c>
      <c r="E3" s="5">
        <v>0</v>
      </c>
      <c r="F3" s="4">
        <v>21</v>
      </c>
      <c r="G3" s="5">
        <v>0.01</v>
      </c>
      <c r="H3" s="4">
        <v>0</v>
      </c>
    </row>
    <row r="4" spans="1:8" x14ac:dyDescent="0.2">
      <c r="A4" s="2" t="s">
        <v>66</v>
      </c>
      <c r="B4" s="4">
        <v>31817</v>
      </c>
      <c r="C4" s="5">
        <v>9.3699999999999992</v>
      </c>
      <c r="D4" s="4">
        <v>4309</v>
      </c>
      <c r="E4" s="5">
        <v>3.73</v>
      </c>
      <c r="F4" s="4">
        <v>27502</v>
      </c>
      <c r="G4" s="5">
        <v>12.32</v>
      </c>
      <c r="H4" s="4">
        <v>6</v>
      </c>
    </row>
    <row r="5" spans="1:8" x14ac:dyDescent="0.2">
      <c r="A5" s="2" t="s">
        <v>67</v>
      </c>
      <c r="B5" s="4">
        <v>29567</v>
      </c>
      <c r="C5" s="5">
        <v>8.7100000000000009</v>
      </c>
      <c r="D5" s="4">
        <v>6337</v>
      </c>
      <c r="E5" s="5">
        <v>5.49</v>
      </c>
      <c r="F5" s="4">
        <v>23225</v>
      </c>
      <c r="G5" s="5">
        <v>10.4</v>
      </c>
      <c r="H5" s="4">
        <v>5</v>
      </c>
    </row>
    <row r="6" spans="1:8" x14ac:dyDescent="0.2">
      <c r="A6" s="2" t="s">
        <v>68</v>
      </c>
      <c r="B6" s="4">
        <v>388</v>
      </c>
      <c r="C6" s="5">
        <v>0.11</v>
      </c>
      <c r="D6" s="4">
        <v>1</v>
      </c>
      <c r="E6" s="5">
        <v>0</v>
      </c>
      <c r="F6" s="4">
        <v>371</v>
      </c>
      <c r="G6" s="5">
        <v>0.17</v>
      </c>
      <c r="H6" s="4">
        <v>2</v>
      </c>
    </row>
    <row r="7" spans="1:8" x14ac:dyDescent="0.2">
      <c r="A7" s="2" t="s">
        <v>69</v>
      </c>
      <c r="B7" s="4">
        <v>12231</v>
      </c>
      <c r="C7" s="5">
        <v>3.6</v>
      </c>
      <c r="D7" s="4">
        <v>321</v>
      </c>
      <c r="E7" s="5">
        <v>0.28000000000000003</v>
      </c>
      <c r="F7" s="4">
        <v>11890</v>
      </c>
      <c r="G7" s="5">
        <v>5.33</v>
      </c>
      <c r="H7" s="4">
        <v>20</v>
      </c>
    </row>
    <row r="8" spans="1:8" x14ac:dyDescent="0.2">
      <c r="A8" s="2" t="s">
        <v>70</v>
      </c>
      <c r="B8" s="4">
        <v>4597</v>
      </c>
      <c r="C8" s="5">
        <v>1.35</v>
      </c>
      <c r="D8" s="4">
        <v>1750</v>
      </c>
      <c r="E8" s="5">
        <v>1.52</v>
      </c>
      <c r="F8" s="4">
        <v>2840</v>
      </c>
      <c r="G8" s="5">
        <v>1.27</v>
      </c>
      <c r="H8" s="4">
        <v>3</v>
      </c>
    </row>
    <row r="9" spans="1:8" x14ac:dyDescent="0.2">
      <c r="A9" s="2" t="s">
        <v>71</v>
      </c>
      <c r="B9" s="4">
        <v>68841</v>
      </c>
      <c r="C9" s="5">
        <v>20.27</v>
      </c>
      <c r="D9" s="4">
        <v>18596</v>
      </c>
      <c r="E9" s="5">
        <v>16.100000000000001</v>
      </c>
      <c r="F9" s="4">
        <v>50212</v>
      </c>
      <c r="G9" s="5">
        <v>22.49</v>
      </c>
      <c r="H9" s="4">
        <v>31</v>
      </c>
    </row>
    <row r="10" spans="1:8" x14ac:dyDescent="0.2">
      <c r="A10" s="2" t="s">
        <v>72</v>
      </c>
      <c r="B10" s="4">
        <v>2029</v>
      </c>
      <c r="C10" s="5">
        <v>0.6</v>
      </c>
      <c r="D10" s="4">
        <v>122</v>
      </c>
      <c r="E10" s="5">
        <v>0.11</v>
      </c>
      <c r="F10" s="4">
        <v>1905</v>
      </c>
      <c r="G10" s="5">
        <v>0.85</v>
      </c>
      <c r="H10" s="4">
        <v>2</v>
      </c>
    </row>
    <row r="11" spans="1:8" x14ac:dyDescent="0.2">
      <c r="A11" s="2" t="s">
        <v>73</v>
      </c>
      <c r="B11" s="4">
        <v>50099</v>
      </c>
      <c r="C11" s="5">
        <v>14.75</v>
      </c>
      <c r="D11" s="4">
        <v>11592</v>
      </c>
      <c r="E11" s="5">
        <v>10.039999999999999</v>
      </c>
      <c r="F11" s="4">
        <v>38456</v>
      </c>
      <c r="G11" s="5">
        <v>17.22</v>
      </c>
      <c r="H11" s="4">
        <v>42</v>
      </c>
    </row>
    <row r="12" spans="1:8" x14ac:dyDescent="0.2">
      <c r="A12" s="2" t="s">
        <v>74</v>
      </c>
      <c r="B12" s="4">
        <v>33583</v>
      </c>
      <c r="C12" s="5">
        <v>9.89</v>
      </c>
      <c r="D12" s="4">
        <v>12402</v>
      </c>
      <c r="E12" s="5">
        <v>10.74</v>
      </c>
      <c r="F12" s="4">
        <v>21079</v>
      </c>
      <c r="G12" s="5">
        <v>9.44</v>
      </c>
      <c r="H12" s="4">
        <v>60</v>
      </c>
    </row>
    <row r="13" spans="1:8" x14ac:dyDescent="0.2">
      <c r="A13" s="2" t="s">
        <v>75</v>
      </c>
      <c r="B13" s="4">
        <v>38353</v>
      </c>
      <c r="C13" s="5">
        <v>11.29</v>
      </c>
      <c r="D13" s="4">
        <v>25336</v>
      </c>
      <c r="E13" s="5">
        <v>21.93</v>
      </c>
      <c r="F13" s="4">
        <v>12990</v>
      </c>
      <c r="G13" s="5">
        <v>5.82</v>
      </c>
      <c r="H13" s="4">
        <v>12</v>
      </c>
    </row>
    <row r="14" spans="1:8" x14ac:dyDescent="0.2">
      <c r="A14" s="2" t="s">
        <v>76</v>
      </c>
      <c r="B14" s="4">
        <v>30238</v>
      </c>
      <c r="C14" s="5">
        <v>8.9</v>
      </c>
      <c r="D14" s="4">
        <v>17933</v>
      </c>
      <c r="E14" s="5">
        <v>15.53</v>
      </c>
      <c r="F14" s="4">
        <v>12252</v>
      </c>
      <c r="G14" s="5">
        <v>5.49</v>
      </c>
      <c r="H14" s="4">
        <v>28</v>
      </c>
    </row>
    <row r="15" spans="1:8" x14ac:dyDescent="0.2">
      <c r="A15" s="2" t="s">
        <v>77</v>
      </c>
      <c r="B15" s="4">
        <v>9900</v>
      </c>
      <c r="C15" s="5">
        <v>2.91</v>
      </c>
      <c r="D15" s="4">
        <v>5279</v>
      </c>
      <c r="E15" s="5">
        <v>4.57</v>
      </c>
      <c r="F15" s="4">
        <v>4471</v>
      </c>
      <c r="G15" s="5">
        <v>2</v>
      </c>
      <c r="H15" s="4">
        <v>42</v>
      </c>
    </row>
    <row r="16" spans="1:8" x14ac:dyDescent="0.2">
      <c r="A16" s="2" t="s">
        <v>78</v>
      </c>
      <c r="B16" s="4">
        <v>15848</v>
      </c>
      <c r="C16" s="5">
        <v>4.67</v>
      </c>
      <c r="D16" s="4">
        <v>10059</v>
      </c>
      <c r="E16" s="5">
        <v>8.7100000000000009</v>
      </c>
      <c r="F16" s="4">
        <v>5590</v>
      </c>
      <c r="G16" s="5">
        <v>2.5</v>
      </c>
      <c r="H16" s="4">
        <v>16</v>
      </c>
    </row>
    <row r="17" spans="1:8" x14ac:dyDescent="0.2">
      <c r="A17" s="2" t="s">
        <v>79</v>
      </c>
      <c r="B17" s="4">
        <v>12140</v>
      </c>
      <c r="C17" s="5">
        <v>3.57</v>
      </c>
      <c r="D17" s="4">
        <v>1472</v>
      </c>
      <c r="E17" s="5">
        <v>1.27</v>
      </c>
      <c r="F17" s="4">
        <v>10471</v>
      </c>
      <c r="G17" s="5">
        <v>4.6900000000000004</v>
      </c>
      <c r="H17" s="4">
        <v>97</v>
      </c>
    </row>
    <row r="18" spans="1:8" x14ac:dyDescent="0.2">
      <c r="A18" s="1" t="s">
        <v>1</v>
      </c>
      <c r="B18" s="4">
        <v>269140</v>
      </c>
      <c r="C18" s="5">
        <v>100.01</v>
      </c>
      <c r="D18" s="4">
        <v>87088</v>
      </c>
      <c r="E18" s="5">
        <v>99.99</v>
      </c>
      <c r="F18" s="4">
        <v>181517</v>
      </c>
      <c r="G18" s="5">
        <v>99.990000000000023</v>
      </c>
      <c r="H18" s="4">
        <v>289</v>
      </c>
    </row>
    <row r="19" spans="1:8" x14ac:dyDescent="0.2">
      <c r="A19" s="2" t="s">
        <v>65</v>
      </c>
      <c r="B19" s="4">
        <v>17</v>
      </c>
      <c r="C19" s="5">
        <v>0.01</v>
      </c>
      <c r="D19" s="4">
        <v>0</v>
      </c>
      <c r="E19" s="5">
        <v>0</v>
      </c>
      <c r="F19" s="4">
        <v>17</v>
      </c>
      <c r="G19" s="5">
        <v>0.01</v>
      </c>
      <c r="H19" s="4">
        <v>0</v>
      </c>
    </row>
    <row r="20" spans="1:8" x14ac:dyDescent="0.2">
      <c r="A20" s="2" t="s">
        <v>66</v>
      </c>
      <c r="B20" s="4">
        <v>21855</v>
      </c>
      <c r="C20" s="5">
        <v>8.1199999999999992</v>
      </c>
      <c r="D20" s="4">
        <v>2423</v>
      </c>
      <c r="E20" s="5">
        <v>2.78</v>
      </c>
      <c r="F20" s="4">
        <v>19429</v>
      </c>
      <c r="G20" s="5">
        <v>10.7</v>
      </c>
      <c r="H20" s="4">
        <v>3</v>
      </c>
    </row>
    <row r="21" spans="1:8" x14ac:dyDescent="0.2">
      <c r="A21" s="2" t="s">
        <v>67</v>
      </c>
      <c r="B21" s="4">
        <v>25098</v>
      </c>
      <c r="C21" s="5">
        <v>9.33</v>
      </c>
      <c r="D21" s="4">
        <v>5380</v>
      </c>
      <c r="E21" s="5">
        <v>6.18</v>
      </c>
      <c r="F21" s="4">
        <v>19714</v>
      </c>
      <c r="G21" s="5">
        <v>10.86</v>
      </c>
      <c r="H21" s="4">
        <v>4</v>
      </c>
    </row>
    <row r="22" spans="1:8" x14ac:dyDescent="0.2">
      <c r="A22" s="2" t="s">
        <v>68</v>
      </c>
      <c r="B22" s="4">
        <v>330</v>
      </c>
      <c r="C22" s="5">
        <v>0.12</v>
      </c>
      <c r="D22" s="4">
        <v>1</v>
      </c>
      <c r="E22" s="5">
        <v>0</v>
      </c>
      <c r="F22" s="4">
        <v>325</v>
      </c>
      <c r="G22" s="5">
        <v>0.18</v>
      </c>
      <c r="H22" s="4">
        <v>2</v>
      </c>
    </row>
    <row r="23" spans="1:8" x14ac:dyDescent="0.2">
      <c r="A23" s="2" t="s">
        <v>69</v>
      </c>
      <c r="B23" s="4">
        <v>10568</v>
      </c>
      <c r="C23" s="5">
        <v>3.93</v>
      </c>
      <c r="D23" s="4">
        <v>242</v>
      </c>
      <c r="E23" s="5">
        <v>0.28000000000000003</v>
      </c>
      <c r="F23" s="4">
        <v>10308</v>
      </c>
      <c r="G23" s="5">
        <v>5.68</v>
      </c>
      <c r="H23" s="4">
        <v>18</v>
      </c>
    </row>
    <row r="24" spans="1:8" x14ac:dyDescent="0.2">
      <c r="A24" s="2" t="s">
        <v>70</v>
      </c>
      <c r="B24" s="4">
        <v>3974</v>
      </c>
      <c r="C24" s="5">
        <v>1.48</v>
      </c>
      <c r="D24" s="4">
        <v>1567</v>
      </c>
      <c r="E24" s="5">
        <v>1.8</v>
      </c>
      <c r="F24" s="4">
        <v>2401</v>
      </c>
      <c r="G24" s="5">
        <v>1.32</v>
      </c>
      <c r="H24" s="4">
        <v>3</v>
      </c>
    </row>
    <row r="25" spans="1:8" x14ac:dyDescent="0.2">
      <c r="A25" s="2" t="s">
        <v>71</v>
      </c>
      <c r="B25" s="4">
        <v>55370</v>
      </c>
      <c r="C25" s="5">
        <v>20.57</v>
      </c>
      <c r="D25" s="4">
        <v>13807</v>
      </c>
      <c r="E25" s="5">
        <v>15.85</v>
      </c>
      <c r="F25" s="4">
        <v>41543</v>
      </c>
      <c r="G25" s="5">
        <v>22.89</v>
      </c>
      <c r="H25" s="4">
        <v>20</v>
      </c>
    </row>
    <row r="26" spans="1:8" x14ac:dyDescent="0.2">
      <c r="A26" s="2" t="s">
        <v>72</v>
      </c>
      <c r="B26" s="4">
        <v>1560</v>
      </c>
      <c r="C26" s="5">
        <v>0.57999999999999996</v>
      </c>
      <c r="D26" s="4">
        <v>62</v>
      </c>
      <c r="E26" s="5">
        <v>7.0000000000000007E-2</v>
      </c>
      <c r="F26" s="4">
        <v>1496</v>
      </c>
      <c r="G26" s="5">
        <v>0.82</v>
      </c>
      <c r="H26" s="4">
        <v>2</v>
      </c>
    </row>
    <row r="27" spans="1:8" x14ac:dyDescent="0.2">
      <c r="A27" s="2" t="s">
        <v>73</v>
      </c>
      <c r="B27" s="4">
        <v>40424</v>
      </c>
      <c r="C27" s="5">
        <v>15.02</v>
      </c>
      <c r="D27" s="4">
        <v>9122</v>
      </c>
      <c r="E27" s="5">
        <v>10.47</v>
      </c>
      <c r="F27" s="4">
        <v>31261</v>
      </c>
      <c r="G27" s="5">
        <v>17.22</v>
      </c>
      <c r="H27" s="4">
        <v>36</v>
      </c>
    </row>
    <row r="28" spans="1:8" x14ac:dyDescent="0.2">
      <c r="A28" s="2" t="s">
        <v>74</v>
      </c>
      <c r="B28" s="4">
        <v>28550</v>
      </c>
      <c r="C28" s="5">
        <v>10.61</v>
      </c>
      <c r="D28" s="4">
        <v>10440</v>
      </c>
      <c r="E28" s="5">
        <v>11.99</v>
      </c>
      <c r="F28" s="4">
        <v>18030</v>
      </c>
      <c r="G28" s="5">
        <v>9.93</v>
      </c>
      <c r="H28" s="4">
        <v>49</v>
      </c>
    </row>
    <row r="29" spans="1:8" x14ac:dyDescent="0.2">
      <c r="A29" s="2" t="s">
        <v>75</v>
      </c>
      <c r="B29" s="4">
        <v>30643</v>
      </c>
      <c r="C29" s="5">
        <v>11.39</v>
      </c>
      <c r="D29" s="4">
        <v>19585</v>
      </c>
      <c r="E29" s="5">
        <v>22.49</v>
      </c>
      <c r="F29" s="4">
        <v>11041</v>
      </c>
      <c r="G29" s="5">
        <v>6.08</v>
      </c>
      <c r="H29" s="4">
        <v>8</v>
      </c>
    </row>
    <row r="30" spans="1:8" x14ac:dyDescent="0.2">
      <c r="A30" s="2" t="s">
        <v>76</v>
      </c>
      <c r="B30" s="4">
        <v>22421</v>
      </c>
      <c r="C30" s="5">
        <v>8.33</v>
      </c>
      <c r="D30" s="4">
        <v>12649</v>
      </c>
      <c r="E30" s="5">
        <v>14.52</v>
      </c>
      <c r="F30" s="4">
        <v>9746</v>
      </c>
      <c r="G30" s="5">
        <v>5.37</v>
      </c>
      <c r="H30" s="4">
        <v>17</v>
      </c>
    </row>
    <row r="31" spans="1:8" x14ac:dyDescent="0.2">
      <c r="A31" s="2" t="s">
        <v>77</v>
      </c>
      <c r="B31" s="4">
        <v>6832</v>
      </c>
      <c r="C31" s="5">
        <v>2.54</v>
      </c>
      <c r="D31" s="4">
        <v>3313</v>
      </c>
      <c r="E31" s="5">
        <v>3.8</v>
      </c>
      <c r="F31" s="4">
        <v>3442</v>
      </c>
      <c r="G31" s="5">
        <v>1.9</v>
      </c>
      <c r="H31" s="4">
        <v>36</v>
      </c>
    </row>
    <row r="32" spans="1:8" x14ac:dyDescent="0.2">
      <c r="A32" s="2" t="s">
        <v>78</v>
      </c>
      <c r="B32" s="4">
        <v>11743</v>
      </c>
      <c r="C32" s="5">
        <v>4.3600000000000003</v>
      </c>
      <c r="D32" s="4">
        <v>7548</v>
      </c>
      <c r="E32" s="5">
        <v>8.67</v>
      </c>
      <c r="F32" s="4">
        <v>4082</v>
      </c>
      <c r="G32" s="5">
        <v>2.25</v>
      </c>
      <c r="H32" s="4">
        <v>13</v>
      </c>
    </row>
    <row r="33" spans="1:8" x14ac:dyDescent="0.2">
      <c r="A33" s="2" t="s">
        <v>79</v>
      </c>
      <c r="B33" s="4">
        <v>9755</v>
      </c>
      <c r="C33" s="5">
        <v>3.62</v>
      </c>
      <c r="D33" s="4">
        <v>949</v>
      </c>
      <c r="E33" s="5">
        <v>1.0900000000000001</v>
      </c>
      <c r="F33" s="4">
        <v>8682</v>
      </c>
      <c r="G33" s="5">
        <v>4.78</v>
      </c>
      <c r="H33" s="4">
        <v>78</v>
      </c>
    </row>
    <row r="34" spans="1:8" x14ac:dyDescent="0.2">
      <c r="A34" s="1" t="s">
        <v>2</v>
      </c>
      <c r="B34" s="4">
        <v>13534</v>
      </c>
      <c r="C34" s="5">
        <v>100.02</v>
      </c>
      <c r="D34" s="4">
        <v>2687</v>
      </c>
      <c r="E34" s="5">
        <v>99.999999999999986</v>
      </c>
      <c r="F34" s="4">
        <v>10798</v>
      </c>
      <c r="G34" s="5">
        <v>100.00000000000001</v>
      </c>
      <c r="H34" s="4">
        <v>36</v>
      </c>
    </row>
    <row r="35" spans="1:8" x14ac:dyDescent="0.2">
      <c r="A35" s="2" t="s">
        <v>65</v>
      </c>
      <c r="B35" s="4">
        <v>1</v>
      </c>
      <c r="C35" s="5">
        <v>0.01</v>
      </c>
      <c r="D35" s="4">
        <v>0</v>
      </c>
      <c r="E35" s="5">
        <v>0</v>
      </c>
      <c r="F35" s="4">
        <v>1</v>
      </c>
      <c r="G35" s="5">
        <v>0.01</v>
      </c>
      <c r="H35" s="4">
        <v>0</v>
      </c>
    </row>
    <row r="36" spans="1:8" x14ac:dyDescent="0.2">
      <c r="A36" s="2" t="s">
        <v>66</v>
      </c>
      <c r="B36" s="4">
        <v>491</v>
      </c>
      <c r="C36" s="5">
        <v>3.63</v>
      </c>
      <c r="D36" s="4">
        <v>4</v>
      </c>
      <c r="E36" s="5">
        <v>0.15</v>
      </c>
      <c r="F36" s="4">
        <v>486</v>
      </c>
      <c r="G36" s="5">
        <v>4.5</v>
      </c>
      <c r="H36" s="4">
        <v>1</v>
      </c>
    </row>
    <row r="37" spans="1:8" x14ac:dyDescent="0.2">
      <c r="A37" s="2" t="s">
        <v>67</v>
      </c>
      <c r="B37" s="4">
        <v>731</v>
      </c>
      <c r="C37" s="5">
        <v>5.4</v>
      </c>
      <c r="D37" s="4">
        <v>28</v>
      </c>
      <c r="E37" s="5">
        <v>1.04</v>
      </c>
      <c r="F37" s="4">
        <v>702</v>
      </c>
      <c r="G37" s="5">
        <v>6.5</v>
      </c>
      <c r="H37" s="4">
        <v>1</v>
      </c>
    </row>
    <row r="38" spans="1:8" x14ac:dyDescent="0.2">
      <c r="A38" s="2" t="s">
        <v>68</v>
      </c>
      <c r="B38" s="4">
        <v>64</v>
      </c>
      <c r="C38" s="5">
        <v>0.47</v>
      </c>
      <c r="D38" s="4">
        <v>0</v>
      </c>
      <c r="E38" s="5">
        <v>0</v>
      </c>
      <c r="F38" s="4">
        <v>63</v>
      </c>
      <c r="G38" s="5">
        <v>0.57999999999999996</v>
      </c>
      <c r="H38" s="4">
        <v>1</v>
      </c>
    </row>
    <row r="39" spans="1:8" x14ac:dyDescent="0.2">
      <c r="A39" s="2" t="s">
        <v>69</v>
      </c>
      <c r="B39" s="4">
        <v>1124</v>
      </c>
      <c r="C39" s="5">
        <v>8.31</v>
      </c>
      <c r="D39" s="4">
        <v>22</v>
      </c>
      <c r="E39" s="5">
        <v>0.82</v>
      </c>
      <c r="F39" s="4">
        <v>1097</v>
      </c>
      <c r="G39" s="5">
        <v>10.16</v>
      </c>
      <c r="H39" s="4">
        <v>5</v>
      </c>
    </row>
    <row r="40" spans="1:8" x14ac:dyDescent="0.2">
      <c r="A40" s="2" t="s">
        <v>70</v>
      </c>
      <c r="B40" s="4">
        <v>178</v>
      </c>
      <c r="C40" s="5">
        <v>1.32</v>
      </c>
      <c r="D40" s="4">
        <v>0</v>
      </c>
      <c r="E40" s="5">
        <v>0</v>
      </c>
      <c r="F40" s="4">
        <v>178</v>
      </c>
      <c r="G40" s="5">
        <v>1.65</v>
      </c>
      <c r="H40" s="4">
        <v>0</v>
      </c>
    </row>
    <row r="41" spans="1:8" x14ac:dyDescent="0.2">
      <c r="A41" s="2" t="s">
        <v>71</v>
      </c>
      <c r="B41" s="4">
        <v>2938</v>
      </c>
      <c r="C41" s="5">
        <v>21.71</v>
      </c>
      <c r="D41" s="4">
        <v>212</v>
      </c>
      <c r="E41" s="5">
        <v>7.89</v>
      </c>
      <c r="F41" s="4">
        <v>2724</v>
      </c>
      <c r="G41" s="5">
        <v>25.23</v>
      </c>
      <c r="H41" s="4">
        <v>2</v>
      </c>
    </row>
    <row r="42" spans="1:8" x14ac:dyDescent="0.2">
      <c r="A42" s="2" t="s">
        <v>72</v>
      </c>
      <c r="B42" s="4">
        <v>202</v>
      </c>
      <c r="C42" s="5">
        <v>1.49</v>
      </c>
      <c r="D42" s="4">
        <v>4</v>
      </c>
      <c r="E42" s="5">
        <v>0.15</v>
      </c>
      <c r="F42" s="4">
        <v>197</v>
      </c>
      <c r="G42" s="5">
        <v>1.82</v>
      </c>
      <c r="H42" s="4">
        <v>1</v>
      </c>
    </row>
    <row r="43" spans="1:8" x14ac:dyDescent="0.2">
      <c r="A43" s="2" t="s">
        <v>73</v>
      </c>
      <c r="B43" s="4">
        <v>1861</v>
      </c>
      <c r="C43" s="5">
        <v>13.75</v>
      </c>
      <c r="D43" s="4">
        <v>200</v>
      </c>
      <c r="E43" s="5">
        <v>7.44</v>
      </c>
      <c r="F43" s="4">
        <v>1659</v>
      </c>
      <c r="G43" s="5">
        <v>15.36</v>
      </c>
      <c r="H43" s="4">
        <v>2</v>
      </c>
    </row>
    <row r="44" spans="1:8" x14ac:dyDescent="0.2">
      <c r="A44" s="2" t="s">
        <v>74</v>
      </c>
      <c r="B44" s="4">
        <v>3134</v>
      </c>
      <c r="C44" s="5">
        <v>23.16</v>
      </c>
      <c r="D44" s="4">
        <v>1466</v>
      </c>
      <c r="E44" s="5">
        <v>54.56</v>
      </c>
      <c r="F44" s="4">
        <v>1659</v>
      </c>
      <c r="G44" s="5">
        <v>15.36</v>
      </c>
      <c r="H44" s="4">
        <v>8</v>
      </c>
    </row>
    <row r="45" spans="1:8" x14ac:dyDescent="0.2">
      <c r="A45" s="2" t="s">
        <v>75</v>
      </c>
      <c r="B45" s="4">
        <v>1038</v>
      </c>
      <c r="C45" s="5">
        <v>7.67</v>
      </c>
      <c r="D45" s="4">
        <v>411</v>
      </c>
      <c r="E45" s="5">
        <v>15.3</v>
      </c>
      <c r="F45" s="4">
        <v>625</v>
      </c>
      <c r="G45" s="5">
        <v>5.79</v>
      </c>
      <c r="H45" s="4">
        <v>1</v>
      </c>
    </row>
    <row r="46" spans="1:8" x14ac:dyDescent="0.2">
      <c r="A46" s="2" t="s">
        <v>76</v>
      </c>
      <c r="B46" s="4">
        <v>436</v>
      </c>
      <c r="C46" s="5">
        <v>3.22</v>
      </c>
      <c r="D46" s="4">
        <v>103</v>
      </c>
      <c r="E46" s="5">
        <v>3.83</v>
      </c>
      <c r="F46" s="4">
        <v>329</v>
      </c>
      <c r="G46" s="5">
        <v>3.05</v>
      </c>
      <c r="H46" s="4">
        <v>1</v>
      </c>
    </row>
    <row r="47" spans="1:8" x14ac:dyDescent="0.2">
      <c r="A47" s="2" t="s">
        <v>77</v>
      </c>
      <c r="B47" s="4">
        <v>250</v>
      </c>
      <c r="C47" s="5">
        <v>1.85</v>
      </c>
      <c r="D47" s="4">
        <v>33</v>
      </c>
      <c r="E47" s="5">
        <v>1.23</v>
      </c>
      <c r="F47" s="4">
        <v>207</v>
      </c>
      <c r="G47" s="5">
        <v>1.92</v>
      </c>
      <c r="H47" s="4">
        <v>4</v>
      </c>
    </row>
    <row r="48" spans="1:8" x14ac:dyDescent="0.2">
      <c r="A48" s="2" t="s">
        <v>78</v>
      </c>
      <c r="B48" s="4">
        <v>353</v>
      </c>
      <c r="C48" s="5">
        <v>2.61</v>
      </c>
      <c r="D48" s="4">
        <v>187</v>
      </c>
      <c r="E48" s="5">
        <v>6.96</v>
      </c>
      <c r="F48" s="4">
        <v>165</v>
      </c>
      <c r="G48" s="5">
        <v>1.53</v>
      </c>
      <c r="H48" s="4">
        <v>0</v>
      </c>
    </row>
    <row r="49" spans="1:8" x14ac:dyDescent="0.2">
      <c r="A49" s="2" t="s">
        <v>79</v>
      </c>
      <c r="B49" s="4">
        <v>733</v>
      </c>
      <c r="C49" s="5">
        <v>5.42</v>
      </c>
      <c r="D49" s="4">
        <v>17</v>
      </c>
      <c r="E49" s="5">
        <v>0.63</v>
      </c>
      <c r="F49" s="4">
        <v>706</v>
      </c>
      <c r="G49" s="5">
        <v>6.54</v>
      </c>
      <c r="H49" s="4">
        <v>9</v>
      </c>
    </row>
    <row r="50" spans="1:8" x14ac:dyDescent="0.2">
      <c r="A50" s="1" t="s">
        <v>3</v>
      </c>
      <c r="B50" s="4">
        <v>14625</v>
      </c>
      <c r="C50" s="5">
        <v>100</v>
      </c>
      <c r="D50" s="4">
        <v>3202</v>
      </c>
      <c r="E50" s="5">
        <v>99.97</v>
      </c>
      <c r="F50" s="4">
        <v>11394</v>
      </c>
      <c r="G50" s="5">
        <v>100</v>
      </c>
      <c r="H50" s="4">
        <v>24</v>
      </c>
    </row>
    <row r="51" spans="1:8" x14ac:dyDescent="0.2">
      <c r="A51" s="2" t="s">
        <v>65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66</v>
      </c>
      <c r="B52" s="4">
        <v>534</v>
      </c>
      <c r="C52" s="5">
        <v>3.65</v>
      </c>
      <c r="D52" s="4">
        <v>12</v>
      </c>
      <c r="E52" s="5">
        <v>0.37</v>
      </c>
      <c r="F52" s="4">
        <v>522</v>
      </c>
      <c r="G52" s="5">
        <v>4.58</v>
      </c>
      <c r="H52" s="4">
        <v>0</v>
      </c>
    </row>
    <row r="53" spans="1:8" x14ac:dyDescent="0.2">
      <c r="A53" s="2" t="s">
        <v>67</v>
      </c>
      <c r="B53" s="4">
        <v>851</v>
      </c>
      <c r="C53" s="5">
        <v>5.82</v>
      </c>
      <c r="D53" s="4">
        <v>44</v>
      </c>
      <c r="E53" s="5">
        <v>1.37</v>
      </c>
      <c r="F53" s="4">
        <v>807</v>
      </c>
      <c r="G53" s="5">
        <v>7.08</v>
      </c>
      <c r="H53" s="4">
        <v>0</v>
      </c>
    </row>
    <row r="54" spans="1:8" x14ac:dyDescent="0.2">
      <c r="A54" s="2" t="s">
        <v>68</v>
      </c>
      <c r="B54" s="4">
        <v>25</v>
      </c>
      <c r="C54" s="5">
        <v>0.17</v>
      </c>
      <c r="D54" s="4">
        <v>0</v>
      </c>
      <c r="E54" s="5">
        <v>0</v>
      </c>
      <c r="F54" s="4">
        <v>25</v>
      </c>
      <c r="G54" s="5">
        <v>0.22</v>
      </c>
      <c r="H54" s="4">
        <v>0</v>
      </c>
    </row>
    <row r="55" spans="1:8" x14ac:dyDescent="0.2">
      <c r="A55" s="2" t="s">
        <v>69</v>
      </c>
      <c r="B55" s="4">
        <v>718</v>
      </c>
      <c r="C55" s="5">
        <v>4.91</v>
      </c>
      <c r="D55" s="4">
        <v>8</v>
      </c>
      <c r="E55" s="5">
        <v>0.25</v>
      </c>
      <c r="F55" s="4">
        <v>706</v>
      </c>
      <c r="G55" s="5">
        <v>6.2</v>
      </c>
      <c r="H55" s="4">
        <v>4</v>
      </c>
    </row>
    <row r="56" spans="1:8" x14ac:dyDescent="0.2">
      <c r="A56" s="2" t="s">
        <v>70</v>
      </c>
      <c r="B56" s="4">
        <v>230</v>
      </c>
      <c r="C56" s="5">
        <v>1.57</v>
      </c>
      <c r="D56" s="4">
        <v>2</v>
      </c>
      <c r="E56" s="5">
        <v>0.06</v>
      </c>
      <c r="F56" s="4">
        <v>226</v>
      </c>
      <c r="G56" s="5">
        <v>1.98</v>
      </c>
      <c r="H56" s="4">
        <v>2</v>
      </c>
    </row>
    <row r="57" spans="1:8" x14ac:dyDescent="0.2">
      <c r="A57" s="2" t="s">
        <v>71</v>
      </c>
      <c r="B57" s="4">
        <v>3650</v>
      </c>
      <c r="C57" s="5">
        <v>24.96</v>
      </c>
      <c r="D57" s="4">
        <v>321</v>
      </c>
      <c r="E57" s="5">
        <v>10.02</v>
      </c>
      <c r="F57" s="4">
        <v>3326</v>
      </c>
      <c r="G57" s="5">
        <v>29.19</v>
      </c>
      <c r="H57" s="4">
        <v>3</v>
      </c>
    </row>
    <row r="58" spans="1:8" x14ac:dyDescent="0.2">
      <c r="A58" s="2" t="s">
        <v>72</v>
      </c>
      <c r="B58" s="4">
        <v>158</v>
      </c>
      <c r="C58" s="5">
        <v>1.08</v>
      </c>
      <c r="D58" s="4">
        <v>2</v>
      </c>
      <c r="E58" s="5">
        <v>0.06</v>
      </c>
      <c r="F58" s="4">
        <v>156</v>
      </c>
      <c r="G58" s="5">
        <v>1.37</v>
      </c>
      <c r="H58" s="4">
        <v>0</v>
      </c>
    </row>
    <row r="59" spans="1:8" x14ac:dyDescent="0.2">
      <c r="A59" s="2" t="s">
        <v>73</v>
      </c>
      <c r="B59" s="4">
        <v>1756</v>
      </c>
      <c r="C59" s="5">
        <v>12.01</v>
      </c>
      <c r="D59" s="4">
        <v>151</v>
      </c>
      <c r="E59" s="5">
        <v>4.72</v>
      </c>
      <c r="F59" s="4">
        <v>1604</v>
      </c>
      <c r="G59" s="5">
        <v>14.08</v>
      </c>
      <c r="H59" s="4">
        <v>1</v>
      </c>
    </row>
    <row r="60" spans="1:8" x14ac:dyDescent="0.2">
      <c r="A60" s="2" t="s">
        <v>74</v>
      </c>
      <c r="B60" s="4">
        <v>2622</v>
      </c>
      <c r="C60" s="5">
        <v>17.93</v>
      </c>
      <c r="D60" s="4">
        <v>1158</v>
      </c>
      <c r="E60" s="5">
        <v>36.159999999999997</v>
      </c>
      <c r="F60" s="4">
        <v>1455</v>
      </c>
      <c r="G60" s="5">
        <v>12.77</v>
      </c>
      <c r="H60" s="4">
        <v>7</v>
      </c>
    </row>
    <row r="61" spans="1:8" x14ac:dyDescent="0.2">
      <c r="A61" s="2" t="s">
        <v>75</v>
      </c>
      <c r="B61" s="4">
        <v>1961</v>
      </c>
      <c r="C61" s="5">
        <v>13.41</v>
      </c>
      <c r="D61" s="4">
        <v>897</v>
      </c>
      <c r="E61" s="5">
        <v>28.01</v>
      </c>
      <c r="F61" s="4">
        <v>1064</v>
      </c>
      <c r="G61" s="5">
        <v>9.34</v>
      </c>
      <c r="H61" s="4">
        <v>0</v>
      </c>
    </row>
    <row r="62" spans="1:8" x14ac:dyDescent="0.2">
      <c r="A62" s="2" t="s">
        <v>76</v>
      </c>
      <c r="B62" s="4">
        <v>692</v>
      </c>
      <c r="C62" s="5">
        <v>4.7300000000000004</v>
      </c>
      <c r="D62" s="4">
        <v>223</v>
      </c>
      <c r="E62" s="5">
        <v>6.96</v>
      </c>
      <c r="F62" s="4">
        <v>468</v>
      </c>
      <c r="G62" s="5">
        <v>4.1100000000000003</v>
      </c>
      <c r="H62" s="4">
        <v>1</v>
      </c>
    </row>
    <row r="63" spans="1:8" x14ac:dyDescent="0.2">
      <c r="A63" s="2" t="s">
        <v>77</v>
      </c>
      <c r="B63" s="4">
        <v>262</v>
      </c>
      <c r="C63" s="5">
        <v>1.79</v>
      </c>
      <c r="D63" s="4">
        <v>73</v>
      </c>
      <c r="E63" s="5">
        <v>2.2799999999999998</v>
      </c>
      <c r="F63" s="4">
        <v>188</v>
      </c>
      <c r="G63" s="5">
        <v>1.65</v>
      </c>
      <c r="H63" s="4">
        <v>1</v>
      </c>
    </row>
    <row r="64" spans="1:8" x14ac:dyDescent="0.2">
      <c r="A64" s="2" t="s">
        <v>78</v>
      </c>
      <c r="B64" s="4">
        <v>475</v>
      </c>
      <c r="C64" s="5">
        <v>3.25</v>
      </c>
      <c r="D64" s="4">
        <v>285</v>
      </c>
      <c r="E64" s="5">
        <v>8.9</v>
      </c>
      <c r="F64" s="4">
        <v>189</v>
      </c>
      <c r="G64" s="5">
        <v>1.66</v>
      </c>
      <c r="H64" s="4">
        <v>0</v>
      </c>
    </row>
    <row r="65" spans="1:8" x14ac:dyDescent="0.2">
      <c r="A65" s="2" t="s">
        <v>79</v>
      </c>
      <c r="B65" s="4">
        <v>691</v>
      </c>
      <c r="C65" s="5">
        <v>4.72</v>
      </c>
      <c r="D65" s="4">
        <v>26</v>
      </c>
      <c r="E65" s="5">
        <v>0.81</v>
      </c>
      <c r="F65" s="4">
        <v>658</v>
      </c>
      <c r="G65" s="5">
        <v>5.77</v>
      </c>
      <c r="H65" s="4">
        <v>5</v>
      </c>
    </row>
    <row r="66" spans="1:8" x14ac:dyDescent="0.2">
      <c r="A66" s="1" t="s">
        <v>4</v>
      </c>
      <c r="B66" s="4">
        <v>17538</v>
      </c>
      <c r="C66" s="5">
        <v>99.989999999999981</v>
      </c>
      <c r="D66" s="4">
        <v>3247</v>
      </c>
      <c r="E66" s="5">
        <v>99.99</v>
      </c>
      <c r="F66" s="4">
        <v>14249</v>
      </c>
      <c r="G66" s="5">
        <v>100.00999999999999</v>
      </c>
      <c r="H66" s="4">
        <v>37</v>
      </c>
    </row>
    <row r="67" spans="1:8" x14ac:dyDescent="0.2">
      <c r="A67" s="2" t="s">
        <v>65</v>
      </c>
      <c r="B67" s="4">
        <v>9</v>
      </c>
      <c r="C67" s="5">
        <v>0.05</v>
      </c>
      <c r="D67" s="4">
        <v>0</v>
      </c>
      <c r="E67" s="5">
        <v>0</v>
      </c>
      <c r="F67" s="4">
        <v>9</v>
      </c>
      <c r="G67" s="5">
        <v>0.06</v>
      </c>
      <c r="H67" s="4">
        <v>0</v>
      </c>
    </row>
    <row r="68" spans="1:8" x14ac:dyDescent="0.2">
      <c r="A68" s="2" t="s">
        <v>66</v>
      </c>
      <c r="B68" s="4">
        <v>552</v>
      </c>
      <c r="C68" s="5">
        <v>3.15</v>
      </c>
      <c r="D68" s="4">
        <v>10</v>
      </c>
      <c r="E68" s="5">
        <v>0.31</v>
      </c>
      <c r="F68" s="4">
        <v>542</v>
      </c>
      <c r="G68" s="5">
        <v>3.8</v>
      </c>
      <c r="H68" s="4">
        <v>0</v>
      </c>
    </row>
    <row r="69" spans="1:8" x14ac:dyDescent="0.2">
      <c r="A69" s="2" t="s">
        <v>67</v>
      </c>
      <c r="B69" s="4">
        <v>710</v>
      </c>
      <c r="C69" s="5">
        <v>4.05</v>
      </c>
      <c r="D69" s="4">
        <v>43</v>
      </c>
      <c r="E69" s="5">
        <v>1.32</v>
      </c>
      <c r="F69" s="4">
        <v>666</v>
      </c>
      <c r="G69" s="5">
        <v>4.67</v>
      </c>
      <c r="H69" s="4">
        <v>1</v>
      </c>
    </row>
    <row r="70" spans="1:8" x14ac:dyDescent="0.2">
      <c r="A70" s="2" t="s">
        <v>68</v>
      </c>
      <c r="B70" s="4">
        <v>92</v>
      </c>
      <c r="C70" s="5">
        <v>0.52</v>
      </c>
      <c r="D70" s="4">
        <v>0</v>
      </c>
      <c r="E70" s="5">
        <v>0</v>
      </c>
      <c r="F70" s="4">
        <v>92</v>
      </c>
      <c r="G70" s="5">
        <v>0.65</v>
      </c>
      <c r="H70" s="4">
        <v>0</v>
      </c>
    </row>
    <row r="71" spans="1:8" x14ac:dyDescent="0.2">
      <c r="A71" s="2" t="s">
        <v>69</v>
      </c>
      <c r="B71" s="4">
        <v>1222</v>
      </c>
      <c r="C71" s="5">
        <v>6.97</v>
      </c>
      <c r="D71" s="4">
        <v>18</v>
      </c>
      <c r="E71" s="5">
        <v>0.55000000000000004</v>
      </c>
      <c r="F71" s="4">
        <v>1202</v>
      </c>
      <c r="G71" s="5">
        <v>8.44</v>
      </c>
      <c r="H71" s="4">
        <v>2</v>
      </c>
    </row>
    <row r="72" spans="1:8" x14ac:dyDescent="0.2">
      <c r="A72" s="2" t="s">
        <v>70</v>
      </c>
      <c r="B72" s="4">
        <v>262</v>
      </c>
      <c r="C72" s="5">
        <v>1.49</v>
      </c>
      <c r="D72" s="4">
        <v>5</v>
      </c>
      <c r="E72" s="5">
        <v>0.15</v>
      </c>
      <c r="F72" s="4">
        <v>256</v>
      </c>
      <c r="G72" s="5">
        <v>1.8</v>
      </c>
      <c r="H72" s="4">
        <v>0</v>
      </c>
    </row>
    <row r="73" spans="1:8" x14ac:dyDescent="0.2">
      <c r="A73" s="2" t="s">
        <v>71</v>
      </c>
      <c r="B73" s="4">
        <v>3102</v>
      </c>
      <c r="C73" s="5">
        <v>17.690000000000001</v>
      </c>
      <c r="D73" s="4">
        <v>260</v>
      </c>
      <c r="E73" s="5">
        <v>8.01</v>
      </c>
      <c r="F73" s="4">
        <v>2840</v>
      </c>
      <c r="G73" s="5">
        <v>19.93</v>
      </c>
      <c r="H73" s="4">
        <v>2</v>
      </c>
    </row>
    <row r="74" spans="1:8" x14ac:dyDescent="0.2">
      <c r="A74" s="2" t="s">
        <v>72</v>
      </c>
      <c r="B74" s="4">
        <v>162</v>
      </c>
      <c r="C74" s="5">
        <v>0.92</v>
      </c>
      <c r="D74" s="4">
        <v>0</v>
      </c>
      <c r="E74" s="5">
        <v>0</v>
      </c>
      <c r="F74" s="4">
        <v>162</v>
      </c>
      <c r="G74" s="5">
        <v>1.1399999999999999</v>
      </c>
      <c r="H74" s="4">
        <v>0</v>
      </c>
    </row>
    <row r="75" spans="1:8" x14ac:dyDescent="0.2">
      <c r="A75" s="2" t="s">
        <v>73</v>
      </c>
      <c r="B75" s="4">
        <v>2670</v>
      </c>
      <c r="C75" s="5">
        <v>15.22</v>
      </c>
      <c r="D75" s="4">
        <v>140</v>
      </c>
      <c r="E75" s="5">
        <v>4.3099999999999996</v>
      </c>
      <c r="F75" s="4">
        <v>2529</v>
      </c>
      <c r="G75" s="5">
        <v>17.75</v>
      </c>
      <c r="H75" s="4">
        <v>1</v>
      </c>
    </row>
    <row r="76" spans="1:8" x14ac:dyDescent="0.2">
      <c r="A76" s="2" t="s">
        <v>74</v>
      </c>
      <c r="B76" s="4">
        <v>3519</v>
      </c>
      <c r="C76" s="5">
        <v>20.07</v>
      </c>
      <c r="D76" s="4">
        <v>1159</v>
      </c>
      <c r="E76" s="5">
        <v>35.69</v>
      </c>
      <c r="F76" s="4">
        <v>2346</v>
      </c>
      <c r="G76" s="5">
        <v>16.46</v>
      </c>
      <c r="H76" s="4">
        <v>12</v>
      </c>
    </row>
    <row r="77" spans="1:8" x14ac:dyDescent="0.2">
      <c r="A77" s="2" t="s">
        <v>75</v>
      </c>
      <c r="B77" s="4">
        <v>2037</v>
      </c>
      <c r="C77" s="5">
        <v>11.61</v>
      </c>
      <c r="D77" s="4">
        <v>842</v>
      </c>
      <c r="E77" s="5">
        <v>25.93</v>
      </c>
      <c r="F77" s="4">
        <v>1195</v>
      </c>
      <c r="G77" s="5">
        <v>8.39</v>
      </c>
      <c r="H77" s="4">
        <v>0</v>
      </c>
    </row>
    <row r="78" spans="1:8" x14ac:dyDescent="0.2">
      <c r="A78" s="2" t="s">
        <v>76</v>
      </c>
      <c r="B78" s="4">
        <v>1178</v>
      </c>
      <c r="C78" s="5">
        <v>6.72</v>
      </c>
      <c r="D78" s="4">
        <v>304</v>
      </c>
      <c r="E78" s="5">
        <v>9.36</v>
      </c>
      <c r="F78" s="4">
        <v>873</v>
      </c>
      <c r="G78" s="5">
        <v>6.13</v>
      </c>
      <c r="H78" s="4">
        <v>1</v>
      </c>
    </row>
    <row r="79" spans="1:8" x14ac:dyDescent="0.2">
      <c r="A79" s="2" t="s">
        <v>77</v>
      </c>
      <c r="B79" s="4">
        <v>355</v>
      </c>
      <c r="C79" s="5">
        <v>2.02</v>
      </c>
      <c r="D79" s="4">
        <v>70</v>
      </c>
      <c r="E79" s="5">
        <v>2.16</v>
      </c>
      <c r="F79" s="4">
        <v>282</v>
      </c>
      <c r="G79" s="5">
        <v>1.98</v>
      </c>
      <c r="H79" s="4">
        <v>3</v>
      </c>
    </row>
    <row r="80" spans="1:8" x14ac:dyDescent="0.2">
      <c r="A80" s="2" t="s">
        <v>78</v>
      </c>
      <c r="B80" s="4">
        <v>612</v>
      </c>
      <c r="C80" s="5">
        <v>3.49</v>
      </c>
      <c r="D80" s="4">
        <v>362</v>
      </c>
      <c r="E80" s="5">
        <v>11.15</v>
      </c>
      <c r="F80" s="4">
        <v>249</v>
      </c>
      <c r="G80" s="5">
        <v>1.75</v>
      </c>
      <c r="H80" s="4">
        <v>1</v>
      </c>
    </row>
    <row r="81" spans="1:8" x14ac:dyDescent="0.2">
      <c r="A81" s="2" t="s">
        <v>79</v>
      </c>
      <c r="B81" s="4">
        <v>1056</v>
      </c>
      <c r="C81" s="5">
        <v>6.02</v>
      </c>
      <c r="D81" s="4">
        <v>34</v>
      </c>
      <c r="E81" s="5">
        <v>1.05</v>
      </c>
      <c r="F81" s="4">
        <v>1006</v>
      </c>
      <c r="G81" s="5">
        <v>7.06</v>
      </c>
      <c r="H81" s="4">
        <v>14</v>
      </c>
    </row>
    <row r="82" spans="1:8" x14ac:dyDescent="0.2">
      <c r="A82" s="1" t="s">
        <v>5</v>
      </c>
      <c r="B82" s="4">
        <v>15688</v>
      </c>
      <c r="C82" s="5">
        <v>99.999999999999986</v>
      </c>
      <c r="D82" s="4">
        <v>4647</v>
      </c>
      <c r="E82" s="5">
        <v>99.99</v>
      </c>
      <c r="F82" s="4">
        <v>11005</v>
      </c>
      <c r="G82" s="5">
        <v>100.02000000000002</v>
      </c>
      <c r="H82" s="4">
        <v>28</v>
      </c>
    </row>
    <row r="83" spans="1:8" x14ac:dyDescent="0.2">
      <c r="A83" s="2" t="s">
        <v>65</v>
      </c>
      <c r="B83" s="4">
        <v>2</v>
      </c>
      <c r="C83" s="5">
        <v>0.01</v>
      </c>
      <c r="D83" s="4">
        <v>0</v>
      </c>
      <c r="E83" s="5">
        <v>0</v>
      </c>
      <c r="F83" s="4">
        <v>2</v>
      </c>
      <c r="G83" s="5">
        <v>0.02</v>
      </c>
      <c r="H83" s="4">
        <v>0</v>
      </c>
    </row>
    <row r="84" spans="1:8" x14ac:dyDescent="0.2">
      <c r="A84" s="2" t="s">
        <v>66</v>
      </c>
      <c r="B84" s="4">
        <v>743</v>
      </c>
      <c r="C84" s="5">
        <v>4.74</v>
      </c>
      <c r="D84" s="4">
        <v>39</v>
      </c>
      <c r="E84" s="5">
        <v>0.84</v>
      </c>
      <c r="F84" s="4">
        <v>704</v>
      </c>
      <c r="G84" s="5">
        <v>6.4</v>
      </c>
      <c r="H84" s="4">
        <v>0</v>
      </c>
    </row>
    <row r="85" spans="1:8" x14ac:dyDescent="0.2">
      <c r="A85" s="2" t="s">
        <v>67</v>
      </c>
      <c r="B85" s="4">
        <v>793</v>
      </c>
      <c r="C85" s="5">
        <v>5.05</v>
      </c>
      <c r="D85" s="4">
        <v>87</v>
      </c>
      <c r="E85" s="5">
        <v>1.87</v>
      </c>
      <c r="F85" s="4">
        <v>706</v>
      </c>
      <c r="G85" s="5">
        <v>6.42</v>
      </c>
      <c r="H85" s="4">
        <v>0</v>
      </c>
    </row>
    <row r="86" spans="1:8" x14ac:dyDescent="0.2">
      <c r="A86" s="2" t="s">
        <v>68</v>
      </c>
      <c r="B86" s="4">
        <v>23</v>
      </c>
      <c r="C86" s="5">
        <v>0.15</v>
      </c>
      <c r="D86" s="4">
        <v>0</v>
      </c>
      <c r="E86" s="5">
        <v>0</v>
      </c>
      <c r="F86" s="4">
        <v>23</v>
      </c>
      <c r="G86" s="5">
        <v>0.21</v>
      </c>
      <c r="H86" s="4">
        <v>0</v>
      </c>
    </row>
    <row r="87" spans="1:8" x14ac:dyDescent="0.2">
      <c r="A87" s="2" t="s">
        <v>69</v>
      </c>
      <c r="B87" s="4">
        <v>1023</v>
      </c>
      <c r="C87" s="5">
        <v>6.52</v>
      </c>
      <c r="D87" s="4">
        <v>32</v>
      </c>
      <c r="E87" s="5">
        <v>0.69</v>
      </c>
      <c r="F87" s="4">
        <v>986</v>
      </c>
      <c r="G87" s="5">
        <v>8.9600000000000009</v>
      </c>
      <c r="H87" s="4">
        <v>5</v>
      </c>
    </row>
    <row r="88" spans="1:8" x14ac:dyDescent="0.2">
      <c r="A88" s="2" t="s">
        <v>70</v>
      </c>
      <c r="B88" s="4">
        <v>89</v>
      </c>
      <c r="C88" s="5">
        <v>0.56999999999999995</v>
      </c>
      <c r="D88" s="4">
        <v>14</v>
      </c>
      <c r="E88" s="5">
        <v>0.3</v>
      </c>
      <c r="F88" s="4">
        <v>75</v>
      </c>
      <c r="G88" s="5">
        <v>0.68</v>
      </c>
      <c r="H88" s="4">
        <v>0</v>
      </c>
    </row>
    <row r="89" spans="1:8" x14ac:dyDescent="0.2">
      <c r="A89" s="2" t="s">
        <v>71</v>
      </c>
      <c r="B89" s="4">
        <v>2510</v>
      </c>
      <c r="C89" s="5">
        <v>16</v>
      </c>
      <c r="D89" s="4">
        <v>417</v>
      </c>
      <c r="E89" s="5">
        <v>8.9700000000000006</v>
      </c>
      <c r="F89" s="4">
        <v>2093</v>
      </c>
      <c r="G89" s="5">
        <v>19.02</v>
      </c>
      <c r="H89" s="4">
        <v>0</v>
      </c>
    </row>
    <row r="90" spans="1:8" x14ac:dyDescent="0.2">
      <c r="A90" s="2" t="s">
        <v>72</v>
      </c>
      <c r="B90" s="4">
        <v>98</v>
      </c>
      <c r="C90" s="5">
        <v>0.62</v>
      </c>
      <c r="D90" s="4">
        <v>0</v>
      </c>
      <c r="E90" s="5">
        <v>0</v>
      </c>
      <c r="F90" s="4">
        <v>97</v>
      </c>
      <c r="G90" s="5">
        <v>0.88</v>
      </c>
      <c r="H90" s="4">
        <v>1</v>
      </c>
    </row>
    <row r="91" spans="1:8" x14ac:dyDescent="0.2">
      <c r="A91" s="2" t="s">
        <v>73</v>
      </c>
      <c r="B91" s="4">
        <v>2678</v>
      </c>
      <c r="C91" s="5">
        <v>17.07</v>
      </c>
      <c r="D91" s="4">
        <v>527</v>
      </c>
      <c r="E91" s="5">
        <v>11.34</v>
      </c>
      <c r="F91" s="4">
        <v>2148</v>
      </c>
      <c r="G91" s="5">
        <v>19.52</v>
      </c>
      <c r="H91" s="4">
        <v>3</v>
      </c>
    </row>
    <row r="92" spans="1:8" x14ac:dyDescent="0.2">
      <c r="A92" s="2" t="s">
        <v>74</v>
      </c>
      <c r="B92" s="4">
        <v>2525</v>
      </c>
      <c r="C92" s="5">
        <v>16.100000000000001</v>
      </c>
      <c r="D92" s="4">
        <v>1048</v>
      </c>
      <c r="E92" s="5">
        <v>22.55</v>
      </c>
      <c r="F92" s="4">
        <v>1471</v>
      </c>
      <c r="G92" s="5">
        <v>13.37</v>
      </c>
      <c r="H92" s="4">
        <v>5</v>
      </c>
    </row>
    <row r="93" spans="1:8" x14ac:dyDescent="0.2">
      <c r="A93" s="2" t="s">
        <v>75</v>
      </c>
      <c r="B93" s="4">
        <v>2421</v>
      </c>
      <c r="C93" s="5">
        <v>15.43</v>
      </c>
      <c r="D93" s="4">
        <v>1453</v>
      </c>
      <c r="E93" s="5">
        <v>31.27</v>
      </c>
      <c r="F93" s="4">
        <v>966</v>
      </c>
      <c r="G93" s="5">
        <v>8.7799999999999994</v>
      </c>
      <c r="H93" s="4">
        <v>1</v>
      </c>
    </row>
    <row r="94" spans="1:8" x14ac:dyDescent="0.2">
      <c r="A94" s="2" t="s">
        <v>76</v>
      </c>
      <c r="B94" s="4">
        <v>1112</v>
      </c>
      <c r="C94" s="5">
        <v>7.09</v>
      </c>
      <c r="D94" s="4">
        <v>461</v>
      </c>
      <c r="E94" s="5">
        <v>9.92</v>
      </c>
      <c r="F94" s="4">
        <v>649</v>
      </c>
      <c r="G94" s="5">
        <v>5.9</v>
      </c>
      <c r="H94" s="4">
        <v>2</v>
      </c>
    </row>
    <row r="95" spans="1:8" x14ac:dyDescent="0.2">
      <c r="A95" s="2" t="s">
        <v>77</v>
      </c>
      <c r="B95" s="4">
        <v>404</v>
      </c>
      <c r="C95" s="5">
        <v>2.58</v>
      </c>
      <c r="D95" s="4">
        <v>147</v>
      </c>
      <c r="E95" s="5">
        <v>3.16</v>
      </c>
      <c r="F95" s="4">
        <v>252</v>
      </c>
      <c r="G95" s="5">
        <v>2.29</v>
      </c>
      <c r="H95" s="4">
        <v>4</v>
      </c>
    </row>
    <row r="96" spans="1:8" x14ac:dyDescent="0.2">
      <c r="A96" s="2" t="s">
        <v>78</v>
      </c>
      <c r="B96" s="4">
        <v>636</v>
      </c>
      <c r="C96" s="5">
        <v>4.05</v>
      </c>
      <c r="D96" s="4">
        <v>389</v>
      </c>
      <c r="E96" s="5">
        <v>8.3699999999999992</v>
      </c>
      <c r="F96" s="4">
        <v>242</v>
      </c>
      <c r="G96" s="5">
        <v>2.2000000000000002</v>
      </c>
      <c r="H96" s="4">
        <v>1</v>
      </c>
    </row>
    <row r="97" spans="1:8" x14ac:dyDescent="0.2">
      <c r="A97" s="2" t="s">
        <v>79</v>
      </c>
      <c r="B97" s="4">
        <v>631</v>
      </c>
      <c r="C97" s="5">
        <v>4.0199999999999996</v>
      </c>
      <c r="D97" s="4">
        <v>33</v>
      </c>
      <c r="E97" s="5">
        <v>0.71</v>
      </c>
      <c r="F97" s="4">
        <v>591</v>
      </c>
      <c r="G97" s="5">
        <v>5.37</v>
      </c>
      <c r="H97" s="4">
        <v>6</v>
      </c>
    </row>
    <row r="98" spans="1:8" x14ac:dyDescent="0.2">
      <c r="A98" s="1" t="s">
        <v>6</v>
      </c>
      <c r="B98" s="4">
        <v>7609</v>
      </c>
      <c r="C98" s="5">
        <v>100.00000000000001</v>
      </c>
      <c r="D98" s="4">
        <v>2466</v>
      </c>
      <c r="E98" s="5">
        <v>100.01</v>
      </c>
      <c r="F98" s="4">
        <v>5127</v>
      </c>
      <c r="G98" s="5">
        <v>100.01000000000002</v>
      </c>
      <c r="H98" s="4">
        <v>14</v>
      </c>
    </row>
    <row r="99" spans="1:8" x14ac:dyDescent="0.2">
      <c r="A99" s="2" t="s">
        <v>65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66</v>
      </c>
      <c r="B100" s="4">
        <v>378</v>
      </c>
      <c r="C100" s="5">
        <v>4.97</v>
      </c>
      <c r="D100" s="4">
        <v>43</v>
      </c>
      <c r="E100" s="5">
        <v>1.74</v>
      </c>
      <c r="F100" s="4">
        <v>334</v>
      </c>
      <c r="G100" s="5">
        <v>6.51</v>
      </c>
      <c r="H100" s="4">
        <v>1</v>
      </c>
    </row>
    <row r="101" spans="1:8" x14ac:dyDescent="0.2">
      <c r="A101" s="2" t="s">
        <v>67</v>
      </c>
      <c r="B101" s="4">
        <v>715</v>
      </c>
      <c r="C101" s="5">
        <v>9.4</v>
      </c>
      <c r="D101" s="4">
        <v>101</v>
      </c>
      <c r="E101" s="5">
        <v>4.0999999999999996</v>
      </c>
      <c r="F101" s="4">
        <v>613</v>
      </c>
      <c r="G101" s="5">
        <v>11.96</v>
      </c>
      <c r="H101" s="4">
        <v>1</v>
      </c>
    </row>
    <row r="102" spans="1:8" x14ac:dyDescent="0.2">
      <c r="A102" s="2" t="s">
        <v>68</v>
      </c>
      <c r="B102" s="4">
        <v>6</v>
      </c>
      <c r="C102" s="5">
        <v>0.08</v>
      </c>
      <c r="D102" s="4">
        <v>1</v>
      </c>
      <c r="E102" s="5">
        <v>0.04</v>
      </c>
      <c r="F102" s="4">
        <v>5</v>
      </c>
      <c r="G102" s="5">
        <v>0.1</v>
      </c>
      <c r="H102" s="4">
        <v>0</v>
      </c>
    </row>
    <row r="103" spans="1:8" x14ac:dyDescent="0.2">
      <c r="A103" s="2" t="s">
        <v>69</v>
      </c>
      <c r="B103" s="4">
        <v>391</v>
      </c>
      <c r="C103" s="5">
        <v>5.14</v>
      </c>
      <c r="D103" s="4">
        <v>14</v>
      </c>
      <c r="E103" s="5">
        <v>0.56999999999999995</v>
      </c>
      <c r="F103" s="4">
        <v>377</v>
      </c>
      <c r="G103" s="5">
        <v>7.35</v>
      </c>
      <c r="H103" s="4">
        <v>0</v>
      </c>
    </row>
    <row r="104" spans="1:8" x14ac:dyDescent="0.2">
      <c r="A104" s="2" t="s">
        <v>70</v>
      </c>
      <c r="B104" s="4">
        <v>58</v>
      </c>
      <c r="C104" s="5">
        <v>0.76</v>
      </c>
      <c r="D104" s="4">
        <v>10</v>
      </c>
      <c r="E104" s="5">
        <v>0.41</v>
      </c>
      <c r="F104" s="4">
        <v>48</v>
      </c>
      <c r="G104" s="5">
        <v>0.94</v>
      </c>
      <c r="H104" s="4">
        <v>0</v>
      </c>
    </row>
    <row r="105" spans="1:8" x14ac:dyDescent="0.2">
      <c r="A105" s="2" t="s">
        <v>71</v>
      </c>
      <c r="B105" s="4">
        <v>1470</v>
      </c>
      <c r="C105" s="5">
        <v>19.32</v>
      </c>
      <c r="D105" s="4">
        <v>393</v>
      </c>
      <c r="E105" s="5">
        <v>15.94</v>
      </c>
      <c r="F105" s="4">
        <v>1077</v>
      </c>
      <c r="G105" s="5">
        <v>21.01</v>
      </c>
      <c r="H105" s="4">
        <v>0</v>
      </c>
    </row>
    <row r="106" spans="1:8" x14ac:dyDescent="0.2">
      <c r="A106" s="2" t="s">
        <v>72</v>
      </c>
      <c r="B106" s="4">
        <v>39</v>
      </c>
      <c r="C106" s="5">
        <v>0.51</v>
      </c>
      <c r="D106" s="4">
        <v>1</v>
      </c>
      <c r="E106" s="5">
        <v>0.04</v>
      </c>
      <c r="F106" s="4">
        <v>38</v>
      </c>
      <c r="G106" s="5">
        <v>0.74</v>
      </c>
      <c r="H106" s="4">
        <v>0</v>
      </c>
    </row>
    <row r="107" spans="1:8" x14ac:dyDescent="0.2">
      <c r="A107" s="2" t="s">
        <v>73</v>
      </c>
      <c r="B107" s="4">
        <v>1441</v>
      </c>
      <c r="C107" s="5">
        <v>18.940000000000001</v>
      </c>
      <c r="D107" s="4">
        <v>428</v>
      </c>
      <c r="E107" s="5">
        <v>17.36</v>
      </c>
      <c r="F107" s="4">
        <v>1013</v>
      </c>
      <c r="G107" s="5">
        <v>19.760000000000002</v>
      </c>
      <c r="H107" s="4">
        <v>0</v>
      </c>
    </row>
    <row r="108" spans="1:8" x14ac:dyDescent="0.2">
      <c r="A108" s="2" t="s">
        <v>74</v>
      </c>
      <c r="B108" s="4">
        <v>1021</v>
      </c>
      <c r="C108" s="5">
        <v>13.42</v>
      </c>
      <c r="D108" s="4">
        <v>361</v>
      </c>
      <c r="E108" s="5">
        <v>14.64</v>
      </c>
      <c r="F108" s="4">
        <v>657</v>
      </c>
      <c r="G108" s="5">
        <v>12.81</v>
      </c>
      <c r="H108" s="4">
        <v>2</v>
      </c>
    </row>
    <row r="109" spans="1:8" x14ac:dyDescent="0.2">
      <c r="A109" s="2" t="s">
        <v>75</v>
      </c>
      <c r="B109" s="4">
        <v>837</v>
      </c>
      <c r="C109" s="5">
        <v>11</v>
      </c>
      <c r="D109" s="4">
        <v>507</v>
      </c>
      <c r="E109" s="5">
        <v>20.56</v>
      </c>
      <c r="F109" s="4">
        <v>329</v>
      </c>
      <c r="G109" s="5">
        <v>6.42</v>
      </c>
      <c r="H109" s="4">
        <v>0</v>
      </c>
    </row>
    <row r="110" spans="1:8" x14ac:dyDescent="0.2">
      <c r="A110" s="2" t="s">
        <v>76</v>
      </c>
      <c r="B110" s="4">
        <v>466</v>
      </c>
      <c r="C110" s="5">
        <v>6.12</v>
      </c>
      <c r="D110" s="4">
        <v>259</v>
      </c>
      <c r="E110" s="5">
        <v>10.5</v>
      </c>
      <c r="F110" s="4">
        <v>207</v>
      </c>
      <c r="G110" s="5">
        <v>4.04</v>
      </c>
      <c r="H110" s="4">
        <v>0</v>
      </c>
    </row>
    <row r="111" spans="1:8" x14ac:dyDescent="0.2">
      <c r="A111" s="2" t="s">
        <v>77</v>
      </c>
      <c r="B111" s="4">
        <v>229</v>
      </c>
      <c r="C111" s="5">
        <v>3.01</v>
      </c>
      <c r="D111" s="4">
        <v>121</v>
      </c>
      <c r="E111" s="5">
        <v>4.91</v>
      </c>
      <c r="F111" s="4">
        <v>105</v>
      </c>
      <c r="G111" s="5">
        <v>2.0499999999999998</v>
      </c>
      <c r="H111" s="4">
        <v>3</v>
      </c>
    </row>
    <row r="112" spans="1:8" x14ac:dyDescent="0.2">
      <c r="A112" s="2" t="s">
        <v>78</v>
      </c>
      <c r="B112" s="4">
        <v>312</v>
      </c>
      <c r="C112" s="5">
        <v>4.0999999999999996</v>
      </c>
      <c r="D112" s="4">
        <v>205</v>
      </c>
      <c r="E112" s="5">
        <v>8.31</v>
      </c>
      <c r="F112" s="4">
        <v>107</v>
      </c>
      <c r="G112" s="5">
        <v>2.09</v>
      </c>
      <c r="H112" s="4">
        <v>0</v>
      </c>
    </row>
    <row r="113" spans="1:8" x14ac:dyDescent="0.2">
      <c r="A113" s="2" t="s">
        <v>79</v>
      </c>
      <c r="B113" s="4">
        <v>246</v>
      </c>
      <c r="C113" s="5">
        <v>3.23</v>
      </c>
      <c r="D113" s="4">
        <v>22</v>
      </c>
      <c r="E113" s="5">
        <v>0.89</v>
      </c>
      <c r="F113" s="4">
        <v>217</v>
      </c>
      <c r="G113" s="5">
        <v>4.2300000000000004</v>
      </c>
      <c r="H113" s="4">
        <v>7</v>
      </c>
    </row>
    <row r="114" spans="1:8" x14ac:dyDescent="0.2">
      <c r="A114" s="1" t="s">
        <v>7</v>
      </c>
      <c r="B114" s="4">
        <v>13157</v>
      </c>
      <c r="C114" s="5">
        <v>100.00000000000001</v>
      </c>
      <c r="D114" s="4">
        <v>4185</v>
      </c>
      <c r="E114" s="5">
        <v>100.00999999999999</v>
      </c>
      <c r="F114" s="4">
        <v>8953</v>
      </c>
      <c r="G114" s="5">
        <v>99.99</v>
      </c>
      <c r="H114" s="4">
        <v>14</v>
      </c>
    </row>
    <row r="115" spans="1:8" x14ac:dyDescent="0.2">
      <c r="A115" s="2" t="s">
        <v>65</v>
      </c>
      <c r="B115" s="4">
        <v>1</v>
      </c>
      <c r="C115" s="5">
        <v>0.01</v>
      </c>
      <c r="D115" s="4">
        <v>0</v>
      </c>
      <c r="E115" s="5">
        <v>0</v>
      </c>
      <c r="F115" s="4">
        <v>1</v>
      </c>
      <c r="G115" s="5">
        <v>0.01</v>
      </c>
      <c r="H115" s="4">
        <v>0</v>
      </c>
    </row>
    <row r="116" spans="1:8" x14ac:dyDescent="0.2">
      <c r="A116" s="2" t="s">
        <v>66</v>
      </c>
      <c r="B116" s="4">
        <v>702</v>
      </c>
      <c r="C116" s="5">
        <v>5.34</v>
      </c>
      <c r="D116" s="4">
        <v>76</v>
      </c>
      <c r="E116" s="5">
        <v>1.82</v>
      </c>
      <c r="F116" s="4">
        <v>626</v>
      </c>
      <c r="G116" s="5">
        <v>6.99</v>
      </c>
      <c r="H116" s="4">
        <v>0</v>
      </c>
    </row>
    <row r="117" spans="1:8" x14ac:dyDescent="0.2">
      <c r="A117" s="2" t="s">
        <v>67</v>
      </c>
      <c r="B117" s="4">
        <v>1897</v>
      </c>
      <c r="C117" s="5">
        <v>14.42</v>
      </c>
      <c r="D117" s="4">
        <v>508</v>
      </c>
      <c r="E117" s="5">
        <v>12.14</v>
      </c>
      <c r="F117" s="4">
        <v>1389</v>
      </c>
      <c r="G117" s="5">
        <v>15.51</v>
      </c>
      <c r="H117" s="4">
        <v>0</v>
      </c>
    </row>
    <row r="118" spans="1:8" x14ac:dyDescent="0.2">
      <c r="A118" s="2" t="s">
        <v>68</v>
      </c>
      <c r="B118" s="4">
        <v>9</v>
      </c>
      <c r="C118" s="5">
        <v>7.0000000000000007E-2</v>
      </c>
      <c r="D118" s="4">
        <v>0</v>
      </c>
      <c r="E118" s="5">
        <v>0</v>
      </c>
      <c r="F118" s="4">
        <v>9</v>
      </c>
      <c r="G118" s="5">
        <v>0.1</v>
      </c>
      <c r="H118" s="4">
        <v>0</v>
      </c>
    </row>
    <row r="119" spans="1:8" x14ac:dyDescent="0.2">
      <c r="A119" s="2" t="s">
        <v>69</v>
      </c>
      <c r="B119" s="4">
        <v>357</v>
      </c>
      <c r="C119" s="5">
        <v>2.71</v>
      </c>
      <c r="D119" s="4">
        <v>8</v>
      </c>
      <c r="E119" s="5">
        <v>0.19</v>
      </c>
      <c r="F119" s="4">
        <v>348</v>
      </c>
      <c r="G119" s="5">
        <v>3.89</v>
      </c>
      <c r="H119" s="4">
        <v>1</v>
      </c>
    </row>
    <row r="120" spans="1:8" x14ac:dyDescent="0.2">
      <c r="A120" s="2" t="s">
        <v>70</v>
      </c>
      <c r="B120" s="4">
        <v>97</v>
      </c>
      <c r="C120" s="5">
        <v>0.74</v>
      </c>
      <c r="D120" s="4">
        <v>15</v>
      </c>
      <c r="E120" s="5">
        <v>0.36</v>
      </c>
      <c r="F120" s="4">
        <v>82</v>
      </c>
      <c r="G120" s="5">
        <v>0.92</v>
      </c>
      <c r="H120" s="4">
        <v>0</v>
      </c>
    </row>
    <row r="121" spans="1:8" x14ac:dyDescent="0.2">
      <c r="A121" s="2" t="s">
        <v>71</v>
      </c>
      <c r="B121" s="4">
        <v>4124</v>
      </c>
      <c r="C121" s="5">
        <v>31.34</v>
      </c>
      <c r="D121" s="4">
        <v>874</v>
      </c>
      <c r="E121" s="5">
        <v>20.88</v>
      </c>
      <c r="F121" s="4">
        <v>3247</v>
      </c>
      <c r="G121" s="5">
        <v>36.270000000000003</v>
      </c>
      <c r="H121" s="4">
        <v>3</v>
      </c>
    </row>
    <row r="122" spans="1:8" x14ac:dyDescent="0.2">
      <c r="A122" s="2" t="s">
        <v>72</v>
      </c>
      <c r="B122" s="4">
        <v>48</v>
      </c>
      <c r="C122" s="5">
        <v>0.36</v>
      </c>
      <c r="D122" s="4">
        <v>3</v>
      </c>
      <c r="E122" s="5">
        <v>7.0000000000000007E-2</v>
      </c>
      <c r="F122" s="4">
        <v>45</v>
      </c>
      <c r="G122" s="5">
        <v>0.5</v>
      </c>
      <c r="H122" s="4">
        <v>0</v>
      </c>
    </row>
    <row r="123" spans="1:8" x14ac:dyDescent="0.2">
      <c r="A123" s="2" t="s">
        <v>73</v>
      </c>
      <c r="B123" s="4">
        <v>1678</v>
      </c>
      <c r="C123" s="5">
        <v>12.75</v>
      </c>
      <c r="D123" s="4">
        <v>451</v>
      </c>
      <c r="E123" s="5">
        <v>10.78</v>
      </c>
      <c r="F123" s="4">
        <v>1226</v>
      </c>
      <c r="G123" s="5">
        <v>13.69</v>
      </c>
      <c r="H123" s="4">
        <v>1</v>
      </c>
    </row>
    <row r="124" spans="1:8" x14ac:dyDescent="0.2">
      <c r="A124" s="2" t="s">
        <v>74</v>
      </c>
      <c r="B124" s="4">
        <v>951</v>
      </c>
      <c r="C124" s="5">
        <v>7.23</v>
      </c>
      <c r="D124" s="4">
        <v>400</v>
      </c>
      <c r="E124" s="5">
        <v>9.56</v>
      </c>
      <c r="F124" s="4">
        <v>547</v>
      </c>
      <c r="G124" s="5">
        <v>6.11</v>
      </c>
      <c r="H124" s="4">
        <v>3</v>
      </c>
    </row>
    <row r="125" spans="1:8" x14ac:dyDescent="0.2">
      <c r="A125" s="2" t="s">
        <v>75</v>
      </c>
      <c r="B125" s="4">
        <v>1762</v>
      </c>
      <c r="C125" s="5">
        <v>13.39</v>
      </c>
      <c r="D125" s="4">
        <v>1128</v>
      </c>
      <c r="E125" s="5">
        <v>26.95</v>
      </c>
      <c r="F125" s="4">
        <v>633</v>
      </c>
      <c r="G125" s="5">
        <v>7.07</v>
      </c>
      <c r="H125" s="4">
        <v>1</v>
      </c>
    </row>
    <row r="126" spans="1:8" x14ac:dyDescent="0.2">
      <c r="A126" s="2" t="s">
        <v>76</v>
      </c>
      <c r="B126" s="4">
        <v>654</v>
      </c>
      <c r="C126" s="5">
        <v>4.97</v>
      </c>
      <c r="D126" s="4">
        <v>360</v>
      </c>
      <c r="E126" s="5">
        <v>8.6</v>
      </c>
      <c r="F126" s="4">
        <v>293</v>
      </c>
      <c r="G126" s="5">
        <v>3.27</v>
      </c>
      <c r="H126" s="4">
        <v>1</v>
      </c>
    </row>
    <row r="127" spans="1:8" x14ac:dyDescent="0.2">
      <c r="A127" s="2" t="s">
        <v>77</v>
      </c>
      <c r="B127" s="4">
        <v>147</v>
      </c>
      <c r="C127" s="5">
        <v>1.1200000000000001</v>
      </c>
      <c r="D127" s="4">
        <v>69</v>
      </c>
      <c r="E127" s="5">
        <v>1.65</v>
      </c>
      <c r="F127" s="4">
        <v>72</v>
      </c>
      <c r="G127" s="5">
        <v>0.8</v>
      </c>
      <c r="H127" s="4">
        <v>3</v>
      </c>
    </row>
    <row r="128" spans="1:8" x14ac:dyDescent="0.2">
      <c r="A128" s="2" t="s">
        <v>78</v>
      </c>
      <c r="B128" s="4">
        <v>377</v>
      </c>
      <c r="C128" s="5">
        <v>2.87</v>
      </c>
      <c r="D128" s="4">
        <v>253</v>
      </c>
      <c r="E128" s="5">
        <v>6.05</v>
      </c>
      <c r="F128" s="4">
        <v>124</v>
      </c>
      <c r="G128" s="5">
        <v>1.39</v>
      </c>
      <c r="H128" s="4">
        <v>0</v>
      </c>
    </row>
    <row r="129" spans="1:8" x14ac:dyDescent="0.2">
      <c r="A129" s="2" t="s">
        <v>79</v>
      </c>
      <c r="B129" s="4">
        <v>353</v>
      </c>
      <c r="C129" s="5">
        <v>2.68</v>
      </c>
      <c r="D129" s="4">
        <v>40</v>
      </c>
      <c r="E129" s="5">
        <v>0.96</v>
      </c>
      <c r="F129" s="4">
        <v>311</v>
      </c>
      <c r="G129" s="5">
        <v>3.47</v>
      </c>
      <c r="H129" s="4">
        <v>1</v>
      </c>
    </row>
    <row r="130" spans="1:8" x14ac:dyDescent="0.2">
      <c r="A130" s="1" t="s">
        <v>8</v>
      </c>
      <c r="B130" s="4">
        <v>9100</v>
      </c>
      <c r="C130" s="5">
        <v>99.99</v>
      </c>
      <c r="D130" s="4">
        <v>3273</v>
      </c>
      <c r="E130" s="5">
        <v>99.99</v>
      </c>
      <c r="F130" s="4">
        <v>5814</v>
      </c>
      <c r="G130" s="5">
        <v>100</v>
      </c>
      <c r="H130" s="4">
        <v>8</v>
      </c>
    </row>
    <row r="131" spans="1:8" x14ac:dyDescent="0.2">
      <c r="A131" s="2" t="s">
        <v>65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66</v>
      </c>
      <c r="B132" s="4">
        <v>739</v>
      </c>
      <c r="C132" s="5">
        <v>8.1199999999999992</v>
      </c>
      <c r="D132" s="4">
        <v>107</v>
      </c>
      <c r="E132" s="5">
        <v>3.27</v>
      </c>
      <c r="F132" s="4">
        <v>632</v>
      </c>
      <c r="G132" s="5">
        <v>10.87</v>
      </c>
      <c r="H132" s="4">
        <v>0</v>
      </c>
    </row>
    <row r="133" spans="1:8" x14ac:dyDescent="0.2">
      <c r="A133" s="2" t="s">
        <v>67</v>
      </c>
      <c r="B133" s="4">
        <v>2103</v>
      </c>
      <c r="C133" s="5">
        <v>23.11</v>
      </c>
      <c r="D133" s="4">
        <v>594</v>
      </c>
      <c r="E133" s="5">
        <v>18.149999999999999</v>
      </c>
      <c r="F133" s="4">
        <v>1509</v>
      </c>
      <c r="G133" s="5">
        <v>25.95</v>
      </c>
      <c r="H133" s="4">
        <v>0</v>
      </c>
    </row>
    <row r="134" spans="1:8" x14ac:dyDescent="0.2">
      <c r="A134" s="2" t="s">
        <v>68</v>
      </c>
      <c r="B134" s="4">
        <v>2</v>
      </c>
      <c r="C134" s="5">
        <v>0.02</v>
      </c>
      <c r="D134" s="4">
        <v>0</v>
      </c>
      <c r="E134" s="5">
        <v>0</v>
      </c>
      <c r="F134" s="4">
        <v>2</v>
      </c>
      <c r="G134" s="5">
        <v>0.03</v>
      </c>
      <c r="H134" s="4">
        <v>0</v>
      </c>
    </row>
    <row r="135" spans="1:8" x14ac:dyDescent="0.2">
      <c r="A135" s="2" t="s">
        <v>69</v>
      </c>
      <c r="B135" s="4">
        <v>145</v>
      </c>
      <c r="C135" s="5">
        <v>1.59</v>
      </c>
      <c r="D135" s="4">
        <v>4</v>
      </c>
      <c r="E135" s="5">
        <v>0.12</v>
      </c>
      <c r="F135" s="4">
        <v>141</v>
      </c>
      <c r="G135" s="5">
        <v>2.4300000000000002</v>
      </c>
      <c r="H135" s="4">
        <v>0</v>
      </c>
    </row>
    <row r="136" spans="1:8" x14ac:dyDescent="0.2">
      <c r="A136" s="2" t="s">
        <v>70</v>
      </c>
      <c r="B136" s="4">
        <v>96</v>
      </c>
      <c r="C136" s="5">
        <v>1.05</v>
      </c>
      <c r="D136" s="4">
        <v>26</v>
      </c>
      <c r="E136" s="5">
        <v>0.79</v>
      </c>
      <c r="F136" s="4">
        <v>70</v>
      </c>
      <c r="G136" s="5">
        <v>1.2</v>
      </c>
      <c r="H136" s="4">
        <v>0</v>
      </c>
    </row>
    <row r="137" spans="1:8" x14ac:dyDescent="0.2">
      <c r="A137" s="2" t="s">
        <v>71</v>
      </c>
      <c r="B137" s="4">
        <v>2026</v>
      </c>
      <c r="C137" s="5">
        <v>22.26</v>
      </c>
      <c r="D137" s="4">
        <v>505</v>
      </c>
      <c r="E137" s="5">
        <v>15.43</v>
      </c>
      <c r="F137" s="4">
        <v>1521</v>
      </c>
      <c r="G137" s="5">
        <v>26.16</v>
      </c>
      <c r="H137" s="4">
        <v>0</v>
      </c>
    </row>
    <row r="138" spans="1:8" x14ac:dyDescent="0.2">
      <c r="A138" s="2" t="s">
        <v>72</v>
      </c>
      <c r="B138" s="4">
        <v>42</v>
      </c>
      <c r="C138" s="5">
        <v>0.46</v>
      </c>
      <c r="D138" s="4">
        <v>4</v>
      </c>
      <c r="E138" s="5">
        <v>0.12</v>
      </c>
      <c r="F138" s="4">
        <v>38</v>
      </c>
      <c r="G138" s="5">
        <v>0.65</v>
      </c>
      <c r="H138" s="4">
        <v>0</v>
      </c>
    </row>
    <row r="139" spans="1:8" x14ac:dyDescent="0.2">
      <c r="A139" s="2" t="s">
        <v>73</v>
      </c>
      <c r="B139" s="4">
        <v>1038</v>
      </c>
      <c r="C139" s="5">
        <v>11.41</v>
      </c>
      <c r="D139" s="4">
        <v>280</v>
      </c>
      <c r="E139" s="5">
        <v>8.5500000000000007</v>
      </c>
      <c r="F139" s="4">
        <v>755</v>
      </c>
      <c r="G139" s="5">
        <v>12.99</v>
      </c>
      <c r="H139" s="4">
        <v>3</v>
      </c>
    </row>
    <row r="140" spans="1:8" x14ac:dyDescent="0.2">
      <c r="A140" s="2" t="s">
        <v>74</v>
      </c>
      <c r="B140" s="4">
        <v>468</v>
      </c>
      <c r="C140" s="5">
        <v>5.14</v>
      </c>
      <c r="D140" s="4">
        <v>225</v>
      </c>
      <c r="E140" s="5">
        <v>6.87</v>
      </c>
      <c r="F140" s="4">
        <v>241</v>
      </c>
      <c r="G140" s="5">
        <v>4.1500000000000004</v>
      </c>
      <c r="H140" s="4">
        <v>1</v>
      </c>
    </row>
    <row r="141" spans="1:8" x14ac:dyDescent="0.2">
      <c r="A141" s="2" t="s">
        <v>75</v>
      </c>
      <c r="B141" s="4">
        <v>1039</v>
      </c>
      <c r="C141" s="5">
        <v>11.42</v>
      </c>
      <c r="D141" s="4">
        <v>745</v>
      </c>
      <c r="E141" s="5">
        <v>22.76</v>
      </c>
      <c r="F141" s="4">
        <v>294</v>
      </c>
      <c r="G141" s="5">
        <v>5.0599999999999996</v>
      </c>
      <c r="H141" s="4">
        <v>0</v>
      </c>
    </row>
    <row r="142" spans="1:8" x14ac:dyDescent="0.2">
      <c r="A142" s="2" t="s">
        <v>76</v>
      </c>
      <c r="B142" s="4">
        <v>614</v>
      </c>
      <c r="C142" s="5">
        <v>6.75</v>
      </c>
      <c r="D142" s="4">
        <v>398</v>
      </c>
      <c r="E142" s="5">
        <v>12.16</v>
      </c>
      <c r="F142" s="4">
        <v>215</v>
      </c>
      <c r="G142" s="5">
        <v>3.7</v>
      </c>
      <c r="H142" s="4">
        <v>1</v>
      </c>
    </row>
    <row r="143" spans="1:8" x14ac:dyDescent="0.2">
      <c r="A143" s="2" t="s">
        <v>77</v>
      </c>
      <c r="B143" s="4">
        <v>199</v>
      </c>
      <c r="C143" s="5">
        <v>2.19</v>
      </c>
      <c r="D143" s="4">
        <v>104</v>
      </c>
      <c r="E143" s="5">
        <v>3.18</v>
      </c>
      <c r="F143" s="4">
        <v>91</v>
      </c>
      <c r="G143" s="5">
        <v>1.57</v>
      </c>
      <c r="H143" s="4">
        <v>1</v>
      </c>
    </row>
    <row r="144" spans="1:8" x14ac:dyDescent="0.2">
      <c r="A144" s="2" t="s">
        <v>78</v>
      </c>
      <c r="B144" s="4">
        <v>348</v>
      </c>
      <c r="C144" s="5">
        <v>3.82</v>
      </c>
      <c r="D144" s="4">
        <v>233</v>
      </c>
      <c r="E144" s="5">
        <v>7.12</v>
      </c>
      <c r="F144" s="4">
        <v>113</v>
      </c>
      <c r="G144" s="5">
        <v>1.94</v>
      </c>
      <c r="H144" s="4">
        <v>1</v>
      </c>
    </row>
    <row r="145" spans="1:8" x14ac:dyDescent="0.2">
      <c r="A145" s="2" t="s">
        <v>79</v>
      </c>
      <c r="B145" s="4">
        <v>241</v>
      </c>
      <c r="C145" s="5">
        <v>2.65</v>
      </c>
      <c r="D145" s="4">
        <v>48</v>
      </c>
      <c r="E145" s="5">
        <v>1.47</v>
      </c>
      <c r="F145" s="4">
        <v>192</v>
      </c>
      <c r="G145" s="5">
        <v>3.3</v>
      </c>
      <c r="H145" s="4">
        <v>1</v>
      </c>
    </row>
    <row r="146" spans="1:8" x14ac:dyDescent="0.2">
      <c r="A146" s="1" t="s">
        <v>9</v>
      </c>
      <c r="B146" s="4">
        <v>9706</v>
      </c>
      <c r="C146" s="5">
        <v>99.99</v>
      </c>
      <c r="D146" s="4">
        <v>2858</v>
      </c>
      <c r="E146" s="5">
        <v>99.970000000000013</v>
      </c>
      <c r="F146" s="4">
        <v>6832</v>
      </c>
      <c r="G146" s="5">
        <v>99.990000000000009</v>
      </c>
      <c r="H146" s="4">
        <v>6</v>
      </c>
    </row>
    <row r="147" spans="1:8" x14ac:dyDescent="0.2">
      <c r="A147" s="2" t="s">
        <v>65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66</v>
      </c>
      <c r="B148" s="4">
        <v>941</v>
      </c>
      <c r="C148" s="5">
        <v>9.6999999999999993</v>
      </c>
      <c r="D148" s="4">
        <v>99</v>
      </c>
      <c r="E148" s="5">
        <v>3.46</v>
      </c>
      <c r="F148" s="4">
        <v>842</v>
      </c>
      <c r="G148" s="5">
        <v>12.32</v>
      </c>
      <c r="H148" s="4">
        <v>0</v>
      </c>
    </row>
    <row r="149" spans="1:8" x14ac:dyDescent="0.2">
      <c r="A149" s="2" t="s">
        <v>67</v>
      </c>
      <c r="B149" s="4">
        <v>1362</v>
      </c>
      <c r="C149" s="5">
        <v>14.03</v>
      </c>
      <c r="D149" s="4">
        <v>305</v>
      </c>
      <c r="E149" s="5">
        <v>10.67</v>
      </c>
      <c r="F149" s="4">
        <v>1057</v>
      </c>
      <c r="G149" s="5">
        <v>15.47</v>
      </c>
      <c r="H149" s="4">
        <v>0</v>
      </c>
    </row>
    <row r="150" spans="1:8" x14ac:dyDescent="0.2">
      <c r="A150" s="2" t="s">
        <v>68</v>
      </c>
      <c r="B150" s="4">
        <v>5</v>
      </c>
      <c r="C150" s="5">
        <v>0.05</v>
      </c>
      <c r="D150" s="4">
        <v>0</v>
      </c>
      <c r="E150" s="5">
        <v>0</v>
      </c>
      <c r="F150" s="4">
        <v>4</v>
      </c>
      <c r="G150" s="5">
        <v>0.06</v>
      </c>
      <c r="H150" s="4">
        <v>0</v>
      </c>
    </row>
    <row r="151" spans="1:8" x14ac:dyDescent="0.2">
      <c r="A151" s="2" t="s">
        <v>69</v>
      </c>
      <c r="B151" s="4">
        <v>291</v>
      </c>
      <c r="C151" s="5">
        <v>3</v>
      </c>
      <c r="D151" s="4">
        <v>3</v>
      </c>
      <c r="E151" s="5">
        <v>0.1</v>
      </c>
      <c r="F151" s="4">
        <v>288</v>
      </c>
      <c r="G151" s="5">
        <v>4.22</v>
      </c>
      <c r="H151" s="4">
        <v>0</v>
      </c>
    </row>
    <row r="152" spans="1:8" x14ac:dyDescent="0.2">
      <c r="A152" s="2" t="s">
        <v>70</v>
      </c>
      <c r="B152" s="4">
        <v>295</v>
      </c>
      <c r="C152" s="5">
        <v>3.04</v>
      </c>
      <c r="D152" s="4">
        <v>52</v>
      </c>
      <c r="E152" s="5">
        <v>1.82</v>
      </c>
      <c r="F152" s="4">
        <v>242</v>
      </c>
      <c r="G152" s="5">
        <v>3.54</v>
      </c>
      <c r="H152" s="4">
        <v>0</v>
      </c>
    </row>
    <row r="153" spans="1:8" x14ac:dyDescent="0.2">
      <c r="A153" s="2" t="s">
        <v>71</v>
      </c>
      <c r="B153" s="4">
        <v>2281</v>
      </c>
      <c r="C153" s="5">
        <v>23.5</v>
      </c>
      <c r="D153" s="4">
        <v>549</v>
      </c>
      <c r="E153" s="5">
        <v>19.21</v>
      </c>
      <c r="F153" s="4">
        <v>1731</v>
      </c>
      <c r="G153" s="5">
        <v>25.34</v>
      </c>
      <c r="H153" s="4">
        <v>1</v>
      </c>
    </row>
    <row r="154" spans="1:8" x14ac:dyDescent="0.2">
      <c r="A154" s="2" t="s">
        <v>72</v>
      </c>
      <c r="B154" s="4">
        <v>38</v>
      </c>
      <c r="C154" s="5">
        <v>0.39</v>
      </c>
      <c r="D154" s="4">
        <v>0</v>
      </c>
      <c r="E154" s="5">
        <v>0</v>
      </c>
      <c r="F154" s="4">
        <v>38</v>
      </c>
      <c r="G154" s="5">
        <v>0.56000000000000005</v>
      </c>
      <c r="H154" s="4">
        <v>0</v>
      </c>
    </row>
    <row r="155" spans="1:8" x14ac:dyDescent="0.2">
      <c r="A155" s="2" t="s">
        <v>73</v>
      </c>
      <c r="B155" s="4">
        <v>1024</v>
      </c>
      <c r="C155" s="5">
        <v>10.55</v>
      </c>
      <c r="D155" s="4">
        <v>140</v>
      </c>
      <c r="E155" s="5">
        <v>4.9000000000000004</v>
      </c>
      <c r="F155" s="4">
        <v>884</v>
      </c>
      <c r="G155" s="5">
        <v>12.94</v>
      </c>
      <c r="H155" s="4">
        <v>0</v>
      </c>
    </row>
    <row r="156" spans="1:8" x14ac:dyDescent="0.2">
      <c r="A156" s="2" t="s">
        <v>74</v>
      </c>
      <c r="B156" s="4">
        <v>604</v>
      </c>
      <c r="C156" s="5">
        <v>6.22</v>
      </c>
      <c r="D156" s="4">
        <v>179</v>
      </c>
      <c r="E156" s="5">
        <v>6.26</v>
      </c>
      <c r="F156" s="4">
        <v>421</v>
      </c>
      <c r="G156" s="5">
        <v>6.16</v>
      </c>
      <c r="H156" s="4">
        <v>0</v>
      </c>
    </row>
    <row r="157" spans="1:8" x14ac:dyDescent="0.2">
      <c r="A157" s="2" t="s">
        <v>75</v>
      </c>
      <c r="B157" s="4">
        <v>1083</v>
      </c>
      <c r="C157" s="5">
        <v>11.16</v>
      </c>
      <c r="D157" s="4">
        <v>692</v>
      </c>
      <c r="E157" s="5">
        <v>24.21</v>
      </c>
      <c r="F157" s="4">
        <v>391</v>
      </c>
      <c r="G157" s="5">
        <v>5.72</v>
      </c>
      <c r="H157" s="4">
        <v>0</v>
      </c>
    </row>
    <row r="158" spans="1:8" x14ac:dyDescent="0.2">
      <c r="A158" s="2" t="s">
        <v>76</v>
      </c>
      <c r="B158" s="4">
        <v>802</v>
      </c>
      <c r="C158" s="5">
        <v>8.26</v>
      </c>
      <c r="D158" s="4">
        <v>484</v>
      </c>
      <c r="E158" s="5">
        <v>16.93</v>
      </c>
      <c r="F158" s="4">
        <v>318</v>
      </c>
      <c r="G158" s="5">
        <v>4.6500000000000004</v>
      </c>
      <c r="H158" s="4">
        <v>0</v>
      </c>
    </row>
    <row r="159" spans="1:8" x14ac:dyDescent="0.2">
      <c r="A159" s="2" t="s">
        <v>77</v>
      </c>
      <c r="B159" s="4">
        <v>174</v>
      </c>
      <c r="C159" s="5">
        <v>1.79</v>
      </c>
      <c r="D159" s="4">
        <v>67</v>
      </c>
      <c r="E159" s="5">
        <v>2.34</v>
      </c>
      <c r="F159" s="4">
        <v>106</v>
      </c>
      <c r="G159" s="5">
        <v>1.55</v>
      </c>
      <c r="H159" s="4">
        <v>0</v>
      </c>
    </row>
    <row r="160" spans="1:8" x14ac:dyDescent="0.2">
      <c r="A160" s="2" t="s">
        <v>78</v>
      </c>
      <c r="B160" s="4">
        <v>398</v>
      </c>
      <c r="C160" s="5">
        <v>4.0999999999999996</v>
      </c>
      <c r="D160" s="4">
        <v>247</v>
      </c>
      <c r="E160" s="5">
        <v>8.64</v>
      </c>
      <c r="F160" s="4">
        <v>147</v>
      </c>
      <c r="G160" s="5">
        <v>2.15</v>
      </c>
      <c r="H160" s="4">
        <v>1</v>
      </c>
    </row>
    <row r="161" spans="1:8" x14ac:dyDescent="0.2">
      <c r="A161" s="2" t="s">
        <v>79</v>
      </c>
      <c r="B161" s="4">
        <v>408</v>
      </c>
      <c r="C161" s="5">
        <v>4.2</v>
      </c>
      <c r="D161" s="4">
        <v>41</v>
      </c>
      <c r="E161" s="5">
        <v>1.43</v>
      </c>
      <c r="F161" s="4">
        <v>363</v>
      </c>
      <c r="G161" s="5">
        <v>5.31</v>
      </c>
      <c r="H161" s="4">
        <v>4</v>
      </c>
    </row>
    <row r="162" spans="1:8" x14ac:dyDescent="0.2">
      <c r="A162" s="1" t="s">
        <v>10</v>
      </c>
      <c r="B162" s="4">
        <v>10379</v>
      </c>
      <c r="C162" s="5">
        <v>99.97999999999999</v>
      </c>
      <c r="D162" s="4">
        <v>3583</v>
      </c>
      <c r="E162" s="5">
        <v>100.00000000000001</v>
      </c>
      <c r="F162" s="4">
        <v>6744</v>
      </c>
      <c r="G162" s="5">
        <v>100</v>
      </c>
      <c r="H162" s="4">
        <v>9</v>
      </c>
    </row>
    <row r="163" spans="1:8" x14ac:dyDescent="0.2">
      <c r="A163" s="2" t="s">
        <v>65</v>
      </c>
      <c r="B163" s="4">
        <v>1</v>
      </c>
      <c r="C163" s="5">
        <v>0.01</v>
      </c>
      <c r="D163" s="4">
        <v>0</v>
      </c>
      <c r="E163" s="5">
        <v>0</v>
      </c>
      <c r="F163" s="4">
        <v>1</v>
      </c>
      <c r="G163" s="5">
        <v>0.01</v>
      </c>
      <c r="H163" s="4">
        <v>0</v>
      </c>
    </row>
    <row r="164" spans="1:8" x14ac:dyDescent="0.2">
      <c r="A164" s="2" t="s">
        <v>66</v>
      </c>
      <c r="B164" s="4">
        <v>800</v>
      </c>
      <c r="C164" s="5">
        <v>7.71</v>
      </c>
      <c r="D164" s="4">
        <v>92</v>
      </c>
      <c r="E164" s="5">
        <v>2.57</v>
      </c>
      <c r="F164" s="4">
        <v>708</v>
      </c>
      <c r="G164" s="5">
        <v>10.5</v>
      </c>
      <c r="H164" s="4">
        <v>0</v>
      </c>
    </row>
    <row r="165" spans="1:8" x14ac:dyDescent="0.2">
      <c r="A165" s="2" t="s">
        <v>67</v>
      </c>
      <c r="B165" s="4">
        <v>952</v>
      </c>
      <c r="C165" s="5">
        <v>9.17</v>
      </c>
      <c r="D165" s="4">
        <v>142</v>
      </c>
      <c r="E165" s="5">
        <v>3.96</v>
      </c>
      <c r="F165" s="4">
        <v>810</v>
      </c>
      <c r="G165" s="5">
        <v>12.01</v>
      </c>
      <c r="H165" s="4">
        <v>0</v>
      </c>
    </row>
    <row r="166" spans="1:8" x14ac:dyDescent="0.2">
      <c r="A166" s="2" t="s">
        <v>68</v>
      </c>
      <c r="B166" s="4">
        <v>16</v>
      </c>
      <c r="C166" s="5">
        <v>0.15</v>
      </c>
      <c r="D166" s="4">
        <v>0</v>
      </c>
      <c r="E166" s="5">
        <v>0</v>
      </c>
      <c r="F166" s="4">
        <v>16</v>
      </c>
      <c r="G166" s="5">
        <v>0.24</v>
      </c>
      <c r="H166" s="4">
        <v>0</v>
      </c>
    </row>
    <row r="167" spans="1:8" x14ac:dyDescent="0.2">
      <c r="A167" s="2" t="s">
        <v>69</v>
      </c>
      <c r="B167" s="4">
        <v>353</v>
      </c>
      <c r="C167" s="5">
        <v>3.4</v>
      </c>
      <c r="D167" s="4">
        <v>6</v>
      </c>
      <c r="E167" s="5">
        <v>0.17</v>
      </c>
      <c r="F167" s="4">
        <v>347</v>
      </c>
      <c r="G167" s="5">
        <v>5.15</v>
      </c>
      <c r="H167" s="4">
        <v>0</v>
      </c>
    </row>
    <row r="168" spans="1:8" x14ac:dyDescent="0.2">
      <c r="A168" s="2" t="s">
        <v>70</v>
      </c>
      <c r="B168" s="4">
        <v>151</v>
      </c>
      <c r="C168" s="5">
        <v>1.45</v>
      </c>
      <c r="D168" s="4">
        <v>41</v>
      </c>
      <c r="E168" s="5">
        <v>1.1399999999999999</v>
      </c>
      <c r="F168" s="4">
        <v>110</v>
      </c>
      <c r="G168" s="5">
        <v>1.63</v>
      </c>
      <c r="H168" s="4">
        <v>0</v>
      </c>
    </row>
    <row r="169" spans="1:8" x14ac:dyDescent="0.2">
      <c r="A169" s="2" t="s">
        <v>71</v>
      </c>
      <c r="B169" s="4">
        <v>1878</v>
      </c>
      <c r="C169" s="5">
        <v>18.09</v>
      </c>
      <c r="D169" s="4">
        <v>483</v>
      </c>
      <c r="E169" s="5">
        <v>13.48</v>
      </c>
      <c r="F169" s="4">
        <v>1395</v>
      </c>
      <c r="G169" s="5">
        <v>20.69</v>
      </c>
      <c r="H169" s="4">
        <v>0</v>
      </c>
    </row>
    <row r="170" spans="1:8" x14ac:dyDescent="0.2">
      <c r="A170" s="2" t="s">
        <v>72</v>
      </c>
      <c r="B170" s="4">
        <v>67</v>
      </c>
      <c r="C170" s="5">
        <v>0.65</v>
      </c>
      <c r="D170" s="4">
        <v>3</v>
      </c>
      <c r="E170" s="5">
        <v>0.08</v>
      </c>
      <c r="F170" s="4">
        <v>64</v>
      </c>
      <c r="G170" s="5">
        <v>0.95</v>
      </c>
      <c r="H170" s="4">
        <v>0</v>
      </c>
    </row>
    <row r="171" spans="1:8" x14ac:dyDescent="0.2">
      <c r="A171" s="2" t="s">
        <v>73</v>
      </c>
      <c r="B171" s="4">
        <v>1965</v>
      </c>
      <c r="C171" s="5">
        <v>18.93</v>
      </c>
      <c r="D171" s="4">
        <v>771</v>
      </c>
      <c r="E171" s="5">
        <v>21.52</v>
      </c>
      <c r="F171" s="4">
        <v>1192</v>
      </c>
      <c r="G171" s="5">
        <v>17.670000000000002</v>
      </c>
      <c r="H171" s="4">
        <v>2</v>
      </c>
    </row>
    <row r="172" spans="1:8" x14ac:dyDescent="0.2">
      <c r="A172" s="2" t="s">
        <v>74</v>
      </c>
      <c r="B172" s="4">
        <v>881</v>
      </c>
      <c r="C172" s="5">
        <v>8.49</v>
      </c>
      <c r="D172" s="4">
        <v>253</v>
      </c>
      <c r="E172" s="5">
        <v>7.06</v>
      </c>
      <c r="F172" s="4">
        <v>626</v>
      </c>
      <c r="G172" s="5">
        <v>9.2799999999999994</v>
      </c>
      <c r="H172" s="4">
        <v>1</v>
      </c>
    </row>
    <row r="173" spans="1:8" x14ac:dyDescent="0.2">
      <c r="A173" s="2" t="s">
        <v>75</v>
      </c>
      <c r="B173" s="4">
        <v>1330</v>
      </c>
      <c r="C173" s="5">
        <v>12.81</v>
      </c>
      <c r="D173" s="4">
        <v>852</v>
      </c>
      <c r="E173" s="5">
        <v>23.78</v>
      </c>
      <c r="F173" s="4">
        <v>478</v>
      </c>
      <c r="G173" s="5">
        <v>7.09</v>
      </c>
      <c r="H173" s="4">
        <v>0</v>
      </c>
    </row>
    <row r="174" spans="1:8" x14ac:dyDescent="0.2">
      <c r="A174" s="2" t="s">
        <v>76</v>
      </c>
      <c r="B174" s="4">
        <v>868</v>
      </c>
      <c r="C174" s="5">
        <v>8.36</v>
      </c>
      <c r="D174" s="4">
        <v>495</v>
      </c>
      <c r="E174" s="5">
        <v>13.82</v>
      </c>
      <c r="F174" s="4">
        <v>373</v>
      </c>
      <c r="G174" s="5">
        <v>5.53</v>
      </c>
      <c r="H174" s="4">
        <v>0</v>
      </c>
    </row>
    <row r="175" spans="1:8" x14ac:dyDescent="0.2">
      <c r="A175" s="2" t="s">
        <v>77</v>
      </c>
      <c r="B175" s="4">
        <v>244</v>
      </c>
      <c r="C175" s="5">
        <v>2.35</v>
      </c>
      <c r="D175" s="4">
        <v>106</v>
      </c>
      <c r="E175" s="5">
        <v>2.96</v>
      </c>
      <c r="F175" s="4">
        <v>137</v>
      </c>
      <c r="G175" s="5">
        <v>2.0299999999999998</v>
      </c>
      <c r="H175" s="4">
        <v>1</v>
      </c>
    </row>
    <row r="176" spans="1:8" x14ac:dyDescent="0.2">
      <c r="A176" s="2" t="s">
        <v>78</v>
      </c>
      <c r="B176" s="4">
        <v>490</v>
      </c>
      <c r="C176" s="5">
        <v>4.72</v>
      </c>
      <c r="D176" s="4">
        <v>314</v>
      </c>
      <c r="E176" s="5">
        <v>8.76</v>
      </c>
      <c r="F176" s="4">
        <v>136</v>
      </c>
      <c r="G176" s="5">
        <v>2.02</v>
      </c>
      <c r="H176" s="4">
        <v>2</v>
      </c>
    </row>
    <row r="177" spans="1:8" x14ac:dyDescent="0.2">
      <c r="A177" s="2" t="s">
        <v>79</v>
      </c>
      <c r="B177" s="4">
        <v>383</v>
      </c>
      <c r="C177" s="5">
        <v>3.69</v>
      </c>
      <c r="D177" s="4">
        <v>25</v>
      </c>
      <c r="E177" s="5">
        <v>0.7</v>
      </c>
      <c r="F177" s="4">
        <v>351</v>
      </c>
      <c r="G177" s="5">
        <v>5.2</v>
      </c>
      <c r="H177" s="4">
        <v>3</v>
      </c>
    </row>
    <row r="178" spans="1:8" x14ac:dyDescent="0.2">
      <c r="A178" s="1" t="s">
        <v>11</v>
      </c>
      <c r="B178" s="4">
        <v>7372</v>
      </c>
      <c r="C178" s="5">
        <v>100.00000000000001</v>
      </c>
      <c r="D178" s="4">
        <v>2201</v>
      </c>
      <c r="E178" s="5">
        <v>100.01</v>
      </c>
      <c r="F178" s="4">
        <v>5153</v>
      </c>
      <c r="G178" s="5">
        <v>100.02000000000001</v>
      </c>
      <c r="H178" s="4">
        <v>6</v>
      </c>
    </row>
    <row r="179" spans="1:8" x14ac:dyDescent="0.2">
      <c r="A179" s="2" t="s">
        <v>65</v>
      </c>
      <c r="B179" s="4">
        <v>1</v>
      </c>
      <c r="C179" s="5">
        <v>0.01</v>
      </c>
      <c r="D179" s="4">
        <v>0</v>
      </c>
      <c r="E179" s="5">
        <v>0</v>
      </c>
      <c r="F179" s="4">
        <v>1</v>
      </c>
      <c r="G179" s="5">
        <v>0.02</v>
      </c>
      <c r="H179" s="4">
        <v>0</v>
      </c>
    </row>
    <row r="180" spans="1:8" x14ac:dyDescent="0.2">
      <c r="A180" s="2" t="s">
        <v>66</v>
      </c>
      <c r="B180" s="4">
        <v>412</v>
      </c>
      <c r="C180" s="5">
        <v>5.59</v>
      </c>
      <c r="D180" s="4">
        <v>53</v>
      </c>
      <c r="E180" s="5">
        <v>2.41</v>
      </c>
      <c r="F180" s="4">
        <v>359</v>
      </c>
      <c r="G180" s="5">
        <v>6.97</v>
      </c>
      <c r="H180" s="4">
        <v>0</v>
      </c>
    </row>
    <row r="181" spans="1:8" x14ac:dyDescent="0.2">
      <c r="A181" s="2" t="s">
        <v>67</v>
      </c>
      <c r="B181" s="4">
        <v>401</v>
      </c>
      <c r="C181" s="5">
        <v>5.44</v>
      </c>
      <c r="D181" s="4">
        <v>58</v>
      </c>
      <c r="E181" s="5">
        <v>2.64</v>
      </c>
      <c r="F181" s="4">
        <v>343</v>
      </c>
      <c r="G181" s="5">
        <v>6.66</v>
      </c>
      <c r="H181" s="4">
        <v>0</v>
      </c>
    </row>
    <row r="182" spans="1:8" x14ac:dyDescent="0.2">
      <c r="A182" s="2" t="s">
        <v>68</v>
      </c>
      <c r="B182" s="4">
        <v>9</v>
      </c>
      <c r="C182" s="5">
        <v>0.12</v>
      </c>
      <c r="D182" s="4">
        <v>0</v>
      </c>
      <c r="E182" s="5">
        <v>0</v>
      </c>
      <c r="F182" s="4">
        <v>9</v>
      </c>
      <c r="G182" s="5">
        <v>0.17</v>
      </c>
      <c r="H182" s="4">
        <v>0</v>
      </c>
    </row>
    <row r="183" spans="1:8" x14ac:dyDescent="0.2">
      <c r="A183" s="2" t="s">
        <v>69</v>
      </c>
      <c r="B183" s="4">
        <v>311</v>
      </c>
      <c r="C183" s="5">
        <v>4.22</v>
      </c>
      <c r="D183" s="4">
        <v>4</v>
      </c>
      <c r="E183" s="5">
        <v>0.18</v>
      </c>
      <c r="F183" s="4">
        <v>307</v>
      </c>
      <c r="G183" s="5">
        <v>5.96</v>
      </c>
      <c r="H183" s="4">
        <v>0</v>
      </c>
    </row>
    <row r="184" spans="1:8" x14ac:dyDescent="0.2">
      <c r="A184" s="2" t="s">
        <v>70</v>
      </c>
      <c r="B184" s="4">
        <v>28</v>
      </c>
      <c r="C184" s="5">
        <v>0.38</v>
      </c>
      <c r="D184" s="4">
        <v>4</v>
      </c>
      <c r="E184" s="5">
        <v>0.18</v>
      </c>
      <c r="F184" s="4">
        <v>24</v>
      </c>
      <c r="G184" s="5">
        <v>0.47</v>
      </c>
      <c r="H184" s="4">
        <v>0</v>
      </c>
    </row>
    <row r="185" spans="1:8" x14ac:dyDescent="0.2">
      <c r="A185" s="2" t="s">
        <v>71</v>
      </c>
      <c r="B185" s="4">
        <v>1557</v>
      </c>
      <c r="C185" s="5">
        <v>21.12</v>
      </c>
      <c r="D185" s="4">
        <v>415</v>
      </c>
      <c r="E185" s="5">
        <v>18.86</v>
      </c>
      <c r="F185" s="4">
        <v>1141</v>
      </c>
      <c r="G185" s="5">
        <v>22.14</v>
      </c>
      <c r="H185" s="4">
        <v>1</v>
      </c>
    </row>
    <row r="186" spans="1:8" x14ac:dyDescent="0.2">
      <c r="A186" s="2" t="s">
        <v>72</v>
      </c>
      <c r="B186" s="4">
        <v>40</v>
      </c>
      <c r="C186" s="5">
        <v>0.54</v>
      </c>
      <c r="D186" s="4">
        <v>2</v>
      </c>
      <c r="E186" s="5">
        <v>0.09</v>
      </c>
      <c r="F186" s="4">
        <v>38</v>
      </c>
      <c r="G186" s="5">
        <v>0.74</v>
      </c>
      <c r="H186" s="4">
        <v>0</v>
      </c>
    </row>
    <row r="187" spans="1:8" x14ac:dyDescent="0.2">
      <c r="A187" s="2" t="s">
        <v>73</v>
      </c>
      <c r="B187" s="4">
        <v>1368</v>
      </c>
      <c r="C187" s="5">
        <v>18.559999999999999</v>
      </c>
      <c r="D187" s="4">
        <v>268</v>
      </c>
      <c r="E187" s="5">
        <v>12.18</v>
      </c>
      <c r="F187" s="4">
        <v>1099</v>
      </c>
      <c r="G187" s="5">
        <v>21.33</v>
      </c>
      <c r="H187" s="4">
        <v>0</v>
      </c>
    </row>
    <row r="188" spans="1:8" x14ac:dyDescent="0.2">
      <c r="A188" s="2" t="s">
        <v>74</v>
      </c>
      <c r="B188" s="4">
        <v>776</v>
      </c>
      <c r="C188" s="5">
        <v>10.53</v>
      </c>
      <c r="D188" s="4">
        <v>164</v>
      </c>
      <c r="E188" s="5">
        <v>7.45</v>
      </c>
      <c r="F188" s="4">
        <v>612</v>
      </c>
      <c r="G188" s="5">
        <v>11.88</v>
      </c>
      <c r="H188" s="4">
        <v>0</v>
      </c>
    </row>
    <row r="189" spans="1:8" x14ac:dyDescent="0.2">
      <c r="A189" s="2" t="s">
        <v>75</v>
      </c>
      <c r="B189" s="4">
        <v>824</v>
      </c>
      <c r="C189" s="5">
        <v>11.18</v>
      </c>
      <c r="D189" s="4">
        <v>502</v>
      </c>
      <c r="E189" s="5">
        <v>22.81</v>
      </c>
      <c r="F189" s="4">
        <v>319</v>
      </c>
      <c r="G189" s="5">
        <v>6.19</v>
      </c>
      <c r="H189" s="4">
        <v>1</v>
      </c>
    </row>
    <row r="190" spans="1:8" x14ac:dyDescent="0.2">
      <c r="A190" s="2" t="s">
        <v>76</v>
      </c>
      <c r="B190" s="4">
        <v>797</v>
      </c>
      <c r="C190" s="5">
        <v>10.81</v>
      </c>
      <c r="D190" s="4">
        <v>387</v>
      </c>
      <c r="E190" s="5">
        <v>17.579999999999998</v>
      </c>
      <c r="F190" s="4">
        <v>409</v>
      </c>
      <c r="G190" s="5">
        <v>7.94</v>
      </c>
      <c r="H190" s="4">
        <v>1</v>
      </c>
    </row>
    <row r="191" spans="1:8" x14ac:dyDescent="0.2">
      <c r="A191" s="2" t="s">
        <v>77</v>
      </c>
      <c r="B191" s="4">
        <v>222</v>
      </c>
      <c r="C191" s="5">
        <v>3.01</v>
      </c>
      <c r="D191" s="4">
        <v>78</v>
      </c>
      <c r="E191" s="5">
        <v>3.54</v>
      </c>
      <c r="F191" s="4">
        <v>139</v>
      </c>
      <c r="G191" s="5">
        <v>2.7</v>
      </c>
      <c r="H191" s="4">
        <v>3</v>
      </c>
    </row>
    <row r="192" spans="1:8" x14ac:dyDescent="0.2">
      <c r="A192" s="2" t="s">
        <v>78</v>
      </c>
      <c r="B192" s="4">
        <v>375</v>
      </c>
      <c r="C192" s="5">
        <v>5.09</v>
      </c>
      <c r="D192" s="4">
        <v>241</v>
      </c>
      <c r="E192" s="5">
        <v>10.95</v>
      </c>
      <c r="F192" s="4">
        <v>128</v>
      </c>
      <c r="G192" s="5">
        <v>2.48</v>
      </c>
      <c r="H192" s="4">
        <v>0</v>
      </c>
    </row>
    <row r="193" spans="1:8" x14ac:dyDescent="0.2">
      <c r="A193" s="2" t="s">
        <v>79</v>
      </c>
      <c r="B193" s="4">
        <v>251</v>
      </c>
      <c r="C193" s="5">
        <v>3.4</v>
      </c>
      <c r="D193" s="4">
        <v>25</v>
      </c>
      <c r="E193" s="5">
        <v>1.1399999999999999</v>
      </c>
      <c r="F193" s="4">
        <v>225</v>
      </c>
      <c r="G193" s="5">
        <v>4.37</v>
      </c>
      <c r="H193" s="4">
        <v>0</v>
      </c>
    </row>
    <row r="194" spans="1:8" x14ac:dyDescent="0.2">
      <c r="A194" s="1" t="s">
        <v>12</v>
      </c>
      <c r="B194" s="4">
        <v>17036</v>
      </c>
      <c r="C194" s="5">
        <v>99.999999999999972</v>
      </c>
      <c r="D194" s="4">
        <v>5887</v>
      </c>
      <c r="E194" s="5">
        <v>99.990000000000023</v>
      </c>
      <c r="F194" s="4">
        <v>11133</v>
      </c>
      <c r="G194" s="5">
        <v>99.98</v>
      </c>
      <c r="H194" s="4">
        <v>5</v>
      </c>
    </row>
    <row r="195" spans="1:8" x14ac:dyDescent="0.2">
      <c r="A195" s="2" t="s">
        <v>65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66</v>
      </c>
      <c r="B196" s="4">
        <v>1733</v>
      </c>
      <c r="C196" s="5">
        <v>10.17</v>
      </c>
      <c r="D196" s="4">
        <v>224</v>
      </c>
      <c r="E196" s="5">
        <v>3.8</v>
      </c>
      <c r="F196" s="4">
        <v>1509</v>
      </c>
      <c r="G196" s="5">
        <v>13.55</v>
      </c>
      <c r="H196" s="4">
        <v>0</v>
      </c>
    </row>
    <row r="197" spans="1:8" x14ac:dyDescent="0.2">
      <c r="A197" s="2" t="s">
        <v>67</v>
      </c>
      <c r="B197" s="4">
        <v>2800</v>
      </c>
      <c r="C197" s="5">
        <v>16.440000000000001</v>
      </c>
      <c r="D197" s="4">
        <v>515</v>
      </c>
      <c r="E197" s="5">
        <v>8.75</v>
      </c>
      <c r="F197" s="4">
        <v>2285</v>
      </c>
      <c r="G197" s="5">
        <v>20.52</v>
      </c>
      <c r="H197" s="4">
        <v>0</v>
      </c>
    </row>
    <row r="198" spans="1:8" x14ac:dyDescent="0.2">
      <c r="A198" s="2" t="s">
        <v>68</v>
      </c>
      <c r="B198" s="4">
        <v>11</v>
      </c>
      <c r="C198" s="5">
        <v>0.06</v>
      </c>
      <c r="D198" s="4">
        <v>0</v>
      </c>
      <c r="E198" s="5">
        <v>0</v>
      </c>
      <c r="F198" s="4">
        <v>10</v>
      </c>
      <c r="G198" s="5">
        <v>0.09</v>
      </c>
      <c r="H198" s="4">
        <v>0</v>
      </c>
    </row>
    <row r="199" spans="1:8" x14ac:dyDescent="0.2">
      <c r="A199" s="2" t="s">
        <v>69</v>
      </c>
      <c r="B199" s="4">
        <v>327</v>
      </c>
      <c r="C199" s="5">
        <v>1.92</v>
      </c>
      <c r="D199" s="4">
        <v>10</v>
      </c>
      <c r="E199" s="5">
        <v>0.17</v>
      </c>
      <c r="F199" s="4">
        <v>317</v>
      </c>
      <c r="G199" s="5">
        <v>2.85</v>
      </c>
      <c r="H199" s="4">
        <v>0</v>
      </c>
    </row>
    <row r="200" spans="1:8" x14ac:dyDescent="0.2">
      <c r="A200" s="2" t="s">
        <v>70</v>
      </c>
      <c r="B200" s="4">
        <v>385</v>
      </c>
      <c r="C200" s="5">
        <v>2.2599999999999998</v>
      </c>
      <c r="D200" s="4">
        <v>114</v>
      </c>
      <c r="E200" s="5">
        <v>1.94</v>
      </c>
      <c r="F200" s="4">
        <v>271</v>
      </c>
      <c r="G200" s="5">
        <v>2.4300000000000002</v>
      </c>
      <c r="H200" s="4">
        <v>0</v>
      </c>
    </row>
    <row r="201" spans="1:8" x14ac:dyDescent="0.2">
      <c r="A201" s="2" t="s">
        <v>71</v>
      </c>
      <c r="B201" s="4">
        <v>3220</v>
      </c>
      <c r="C201" s="5">
        <v>18.899999999999999</v>
      </c>
      <c r="D201" s="4">
        <v>973</v>
      </c>
      <c r="E201" s="5">
        <v>16.53</v>
      </c>
      <c r="F201" s="4">
        <v>2247</v>
      </c>
      <c r="G201" s="5">
        <v>20.18</v>
      </c>
      <c r="H201" s="4">
        <v>0</v>
      </c>
    </row>
    <row r="202" spans="1:8" x14ac:dyDescent="0.2">
      <c r="A202" s="2" t="s">
        <v>72</v>
      </c>
      <c r="B202" s="4">
        <v>68</v>
      </c>
      <c r="C202" s="5">
        <v>0.4</v>
      </c>
      <c r="D202" s="4">
        <v>2</v>
      </c>
      <c r="E202" s="5">
        <v>0.03</v>
      </c>
      <c r="F202" s="4">
        <v>66</v>
      </c>
      <c r="G202" s="5">
        <v>0.59</v>
      </c>
      <c r="H202" s="4">
        <v>0</v>
      </c>
    </row>
    <row r="203" spans="1:8" x14ac:dyDescent="0.2">
      <c r="A203" s="2" t="s">
        <v>73</v>
      </c>
      <c r="B203" s="4">
        <v>2633</v>
      </c>
      <c r="C203" s="5">
        <v>15.46</v>
      </c>
      <c r="D203" s="4">
        <v>775</v>
      </c>
      <c r="E203" s="5">
        <v>13.16</v>
      </c>
      <c r="F203" s="4">
        <v>1855</v>
      </c>
      <c r="G203" s="5">
        <v>16.66</v>
      </c>
      <c r="H203" s="4">
        <v>3</v>
      </c>
    </row>
    <row r="204" spans="1:8" x14ac:dyDescent="0.2">
      <c r="A204" s="2" t="s">
        <v>74</v>
      </c>
      <c r="B204" s="4">
        <v>931</v>
      </c>
      <c r="C204" s="5">
        <v>5.46</v>
      </c>
      <c r="D204" s="4">
        <v>287</v>
      </c>
      <c r="E204" s="5">
        <v>4.88</v>
      </c>
      <c r="F204" s="4">
        <v>644</v>
      </c>
      <c r="G204" s="5">
        <v>5.78</v>
      </c>
      <c r="H204" s="4">
        <v>0</v>
      </c>
    </row>
    <row r="205" spans="1:8" x14ac:dyDescent="0.2">
      <c r="A205" s="2" t="s">
        <v>75</v>
      </c>
      <c r="B205" s="4">
        <v>1909</v>
      </c>
      <c r="C205" s="5">
        <v>11.21</v>
      </c>
      <c r="D205" s="4">
        <v>1366</v>
      </c>
      <c r="E205" s="5">
        <v>23.2</v>
      </c>
      <c r="F205" s="4">
        <v>543</v>
      </c>
      <c r="G205" s="5">
        <v>4.88</v>
      </c>
      <c r="H205" s="4">
        <v>0</v>
      </c>
    </row>
    <row r="206" spans="1:8" x14ac:dyDescent="0.2">
      <c r="A206" s="2" t="s">
        <v>76</v>
      </c>
      <c r="B206" s="4">
        <v>1409</v>
      </c>
      <c r="C206" s="5">
        <v>8.27</v>
      </c>
      <c r="D206" s="4">
        <v>875</v>
      </c>
      <c r="E206" s="5">
        <v>14.86</v>
      </c>
      <c r="F206" s="4">
        <v>533</v>
      </c>
      <c r="G206" s="5">
        <v>4.79</v>
      </c>
      <c r="H206" s="4">
        <v>0</v>
      </c>
    </row>
    <row r="207" spans="1:8" x14ac:dyDescent="0.2">
      <c r="A207" s="2" t="s">
        <v>77</v>
      </c>
      <c r="B207" s="4">
        <v>367</v>
      </c>
      <c r="C207" s="5">
        <v>2.15</v>
      </c>
      <c r="D207" s="4">
        <v>202</v>
      </c>
      <c r="E207" s="5">
        <v>3.43</v>
      </c>
      <c r="F207" s="4">
        <v>164</v>
      </c>
      <c r="G207" s="5">
        <v>1.47</v>
      </c>
      <c r="H207" s="4">
        <v>1</v>
      </c>
    </row>
    <row r="208" spans="1:8" x14ac:dyDescent="0.2">
      <c r="A208" s="2" t="s">
        <v>78</v>
      </c>
      <c r="B208" s="4">
        <v>751</v>
      </c>
      <c r="C208" s="5">
        <v>4.41</v>
      </c>
      <c r="D208" s="4">
        <v>478</v>
      </c>
      <c r="E208" s="5">
        <v>8.1199999999999992</v>
      </c>
      <c r="F208" s="4">
        <v>272</v>
      </c>
      <c r="G208" s="5">
        <v>2.44</v>
      </c>
      <c r="H208" s="4">
        <v>0</v>
      </c>
    </row>
    <row r="209" spans="1:8" x14ac:dyDescent="0.2">
      <c r="A209" s="2" t="s">
        <v>79</v>
      </c>
      <c r="B209" s="4">
        <v>492</v>
      </c>
      <c r="C209" s="5">
        <v>2.89</v>
      </c>
      <c r="D209" s="4">
        <v>66</v>
      </c>
      <c r="E209" s="5">
        <v>1.1200000000000001</v>
      </c>
      <c r="F209" s="4">
        <v>417</v>
      </c>
      <c r="G209" s="5">
        <v>3.75</v>
      </c>
      <c r="H209" s="4">
        <v>1</v>
      </c>
    </row>
    <row r="210" spans="1:8" x14ac:dyDescent="0.2">
      <c r="A210" s="1" t="s">
        <v>13</v>
      </c>
      <c r="B210" s="4">
        <v>16175</v>
      </c>
      <c r="C210" s="5">
        <v>100.00000000000001</v>
      </c>
      <c r="D210" s="4">
        <v>5457</v>
      </c>
      <c r="E210" s="5">
        <v>100</v>
      </c>
      <c r="F210" s="4">
        <v>10698</v>
      </c>
      <c r="G210" s="5">
        <v>99.97999999999999</v>
      </c>
      <c r="H210" s="4">
        <v>15</v>
      </c>
    </row>
    <row r="211" spans="1:8" x14ac:dyDescent="0.2">
      <c r="A211" s="2" t="s">
        <v>65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66</v>
      </c>
      <c r="B212" s="4">
        <v>1421</v>
      </c>
      <c r="C212" s="5">
        <v>8.7899999999999991</v>
      </c>
      <c r="D212" s="4">
        <v>156</v>
      </c>
      <c r="E212" s="5">
        <v>2.86</v>
      </c>
      <c r="F212" s="4">
        <v>1265</v>
      </c>
      <c r="G212" s="5">
        <v>11.82</v>
      </c>
      <c r="H212" s="4">
        <v>0</v>
      </c>
    </row>
    <row r="213" spans="1:8" x14ac:dyDescent="0.2">
      <c r="A213" s="2" t="s">
        <v>67</v>
      </c>
      <c r="B213" s="4">
        <v>563</v>
      </c>
      <c r="C213" s="5">
        <v>3.48</v>
      </c>
      <c r="D213" s="4">
        <v>93</v>
      </c>
      <c r="E213" s="5">
        <v>1.7</v>
      </c>
      <c r="F213" s="4">
        <v>469</v>
      </c>
      <c r="G213" s="5">
        <v>4.38</v>
      </c>
      <c r="H213" s="4">
        <v>1</v>
      </c>
    </row>
    <row r="214" spans="1:8" x14ac:dyDescent="0.2">
      <c r="A214" s="2" t="s">
        <v>68</v>
      </c>
      <c r="B214" s="4">
        <v>8</v>
      </c>
      <c r="C214" s="5">
        <v>0.05</v>
      </c>
      <c r="D214" s="4">
        <v>0</v>
      </c>
      <c r="E214" s="5">
        <v>0</v>
      </c>
      <c r="F214" s="4">
        <v>8</v>
      </c>
      <c r="G214" s="5">
        <v>7.0000000000000007E-2</v>
      </c>
      <c r="H214" s="4">
        <v>0</v>
      </c>
    </row>
    <row r="215" spans="1:8" x14ac:dyDescent="0.2">
      <c r="A215" s="2" t="s">
        <v>69</v>
      </c>
      <c r="B215" s="4">
        <v>596</v>
      </c>
      <c r="C215" s="5">
        <v>3.68</v>
      </c>
      <c r="D215" s="4">
        <v>17</v>
      </c>
      <c r="E215" s="5">
        <v>0.31</v>
      </c>
      <c r="F215" s="4">
        <v>579</v>
      </c>
      <c r="G215" s="5">
        <v>5.41</v>
      </c>
      <c r="H215" s="4">
        <v>0</v>
      </c>
    </row>
    <row r="216" spans="1:8" x14ac:dyDescent="0.2">
      <c r="A216" s="2" t="s">
        <v>70</v>
      </c>
      <c r="B216" s="4">
        <v>112</v>
      </c>
      <c r="C216" s="5">
        <v>0.69</v>
      </c>
      <c r="D216" s="4">
        <v>58</v>
      </c>
      <c r="E216" s="5">
        <v>1.06</v>
      </c>
      <c r="F216" s="4">
        <v>54</v>
      </c>
      <c r="G216" s="5">
        <v>0.5</v>
      </c>
      <c r="H216" s="4">
        <v>0</v>
      </c>
    </row>
    <row r="217" spans="1:8" x14ac:dyDescent="0.2">
      <c r="A217" s="2" t="s">
        <v>71</v>
      </c>
      <c r="B217" s="4">
        <v>3417</v>
      </c>
      <c r="C217" s="5">
        <v>21.13</v>
      </c>
      <c r="D217" s="4">
        <v>1047</v>
      </c>
      <c r="E217" s="5">
        <v>19.190000000000001</v>
      </c>
      <c r="F217" s="4">
        <v>2369</v>
      </c>
      <c r="G217" s="5">
        <v>22.14</v>
      </c>
      <c r="H217" s="4">
        <v>1</v>
      </c>
    </row>
    <row r="218" spans="1:8" x14ac:dyDescent="0.2">
      <c r="A218" s="2" t="s">
        <v>72</v>
      </c>
      <c r="B218" s="4">
        <v>70</v>
      </c>
      <c r="C218" s="5">
        <v>0.43</v>
      </c>
      <c r="D218" s="4">
        <v>4</v>
      </c>
      <c r="E218" s="5">
        <v>7.0000000000000007E-2</v>
      </c>
      <c r="F218" s="4">
        <v>66</v>
      </c>
      <c r="G218" s="5">
        <v>0.62</v>
      </c>
      <c r="H218" s="4">
        <v>0</v>
      </c>
    </row>
    <row r="219" spans="1:8" x14ac:dyDescent="0.2">
      <c r="A219" s="2" t="s">
        <v>73</v>
      </c>
      <c r="B219" s="4">
        <v>2537</v>
      </c>
      <c r="C219" s="5">
        <v>15.68</v>
      </c>
      <c r="D219" s="4">
        <v>318</v>
      </c>
      <c r="E219" s="5">
        <v>5.83</v>
      </c>
      <c r="F219" s="4">
        <v>2214</v>
      </c>
      <c r="G219" s="5">
        <v>20.7</v>
      </c>
      <c r="H219" s="4">
        <v>4</v>
      </c>
    </row>
    <row r="220" spans="1:8" x14ac:dyDescent="0.2">
      <c r="A220" s="2" t="s">
        <v>74</v>
      </c>
      <c r="B220" s="4">
        <v>1664</v>
      </c>
      <c r="C220" s="5">
        <v>10.29</v>
      </c>
      <c r="D220" s="4">
        <v>435</v>
      </c>
      <c r="E220" s="5">
        <v>7.97</v>
      </c>
      <c r="F220" s="4">
        <v>1228</v>
      </c>
      <c r="G220" s="5">
        <v>11.48</v>
      </c>
      <c r="H220" s="4">
        <v>1</v>
      </c>
    </row>
    <row r="221" spans="1:8" x14ac:dyDescent="0.2">
      <c r="A221" s="2" t="s">
        <v>75</v>
      </c>
      <c r="B221" s="4">
        <v>1723</v>
      </c>
      <c r="C221" s="5">
        <v>10.65</v>
      </c>
      <c r="D221" s="4">
        <v>1154</v>
      </c>
      <c r="E221" s="5">
        <v>21.15</v>
      </c>
      <c r="F221" s="4">
        <v>567</v>
      </c>
      <c r="G221" s="5">
        <v>5.3</v>
      </c>
      <c r="H221" s="4">
        <v>1</v>
      </c>
    </row>
    <row r="222" spans="1:8" x14ac:dyDescent="0.2">
      <c r="A222" s="2" t="s">
        <v>76</v>
      </c>
      <c r="B222" s="4">
        <v>1882</v>
      </c>
      <c r="C222" s="5">
        <v>11.64</v>
      </c>
      <c r="D222" s="4">
        <v>1088</v>
      </c>
      <c r="E222" s="5">
        <v>19.940000000000001</v>
      </c>
      <c r="F222" s="4">
        <v>794</v>
      </c>
      <c r="G222" s="5">
        <v>7.42</v>
      </c>
      <c r="H222" s="4">
        <v>0</v>
      </c>
    </row>
    <row r="223" spans="1:8" x14ac:dyDescent="0.2">
      <c r="A223" s="2" t="s">
        <v>77</v>
      </c>
      <c r="B223" s="4">
        <v>667</v>
      </c>
      <c r="C223" s="5">
        <v>4.12</v>
      </c>
      <c r="D223" s="4">
        <v>360</v>
      </c>
      <c r="E223" s="5">
        <v>6.6</v>
      </c>
      <c r="F223" s="4">
        <v>303</v>
      </c>
      <c r="G223" s="5">
        <v>2.83</v>
      </c>
      <c r="H223" s="4">
        <v>2</v>
      </c>
    </row>
    <row r="224" spans="1:8" x14ac:dyDescent="0.2">
      <c r="A224" s="2" t="s">
        <v>78</v>
      </c>
      <c r="B224" s="4">
        <v>1006</v>
      </c>
      <c r="C224" s="5">
        <v>6.22</v>
      </c>
      <c r="D224" s="4">
        <v>670</v>
      </c>
      <c r="E224" s="5">
        <v>12.28</v>
      </c>
      <c r="F224" s="4">
        <v>335</v>
      </c>
      <c r="G224" s="5">
        <v>3.13</v>
      </c>
      <c r="H224" s="4">
        <v>1</v>
      </c>
    </row>
    <row r="225" spans="1:8" x14ac:dyDescent="0.2">
      <c r="A225" s="2" t="s">
        <v>79</v>
      </c>
      <c r="B225" s="4">
        <v>509</v>
      </c>
      <c r="C225" s="5">
        <v>3.15</v>
      </c>
      <c r="D225" s="4">
        <v>57</v>
      </c>
      <c r="E225" s="5">
        <v>1.04</v>
      </c>
      <c r="F225" s="4">
        <v>447</v>
      </c>
      <c r="G225" s="5">
        <v>4.18</v>
      </c>
      <c r="H225" s="4">
        <v>4</v>
      </c>
    </row>
    <row r="226" spans="1:8" x14ac:dyDescent="0.2">
      <c r="A226" s="1" t="s">
        <v>14</v>
      </c>
      <c r="B226" s="4">
        <v>15708</v>
      </c>
      <c r="C226" s="5">
        <v>99.99</v>
      </c>
      <c r="D226" s="4">
        <v>3411</v>
      </c>
      <c r="E226" s="5">
        <v>99.97999999999999</v>
      </c>
      <c r="F226" s="4">
        <v>12277</v>
      </c>
      <c r="G226" s="5">
        <v>99.999999999999986</v>
      </c>
      <c r="H226" s="4">
        <v>15</v>
      </c>
    </row>
    <row r="227" spans="1:8" x14ac:dyDescent="0.2">
      <c r="A227" s="2" t="s">
        <v>65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66</v>
      </c>
      <c r="B228" s="4">
        <v>574</v>
      </c>
      <c r="C228" s="5">
        <v>3.65</v>
      </c>
      <c r="D228" s="4">
        <v>32</v>
      </c>
      <c r="E228" s="5">
        <v>0.94</v>
      </c>
      <c r="F228" s="4">
        <v>542</v>
      </c>
      <c r="G228" s="5">
        <v>4.41</v>
      </c>
      <c r="H228" s="4">
        <v>0</v>
      </c>
    </row>
    <row r="229" spans="1:8" x14ac:dyDescent="0.2">
      <c r="A229" s="2" t="s">
        <v>67</v>
      </c>
      <c r="B229" s="4">
        <v>606</v>
      </c>
      <c r="C229" s="5">
        <v>3.86</v>
      </c>
      <c r="D229" s="4">
        <v>48</v>
      </c>
      <c r="E229" s="5">
        <v>1.41</v>
      </c>
      <c r="F229" s="4">
        <v>558</v>
      </c>
      <c r="G229" s="5">
        <v>4.55</v>
      </c>
      <c r="H229" s="4">
        <v>0</v>
      </c>
    </row>
    <row r="230" spans="1:8" x14ac:dyDescent="0.2">
      <c r="A230" s="2" t="s">
        <v>68</v>
      </c>
      <c r="B230" s="4">
        <v>12</v>
      </c>
      <c r="C230" s="5">
        <v>0.08</v>
      </c>
      <c r="D230" s="4">
        <v>0</v>
      </c>
      <c r="E230" s="5">
        <v>0</v>
      </c>
      <c r="F230" s="4">
        <v>12</v>
      </c>
      <c r="G230" s="5">
        <v>0.1</v>
      </c>
      <c r="H230" s="4">
        <v>0</v>
      </c>
    </row>
    <row r="231" spans="1:8" x14ac:dyDescent="0.2">
      <c r="A231" s="2" t="s">
        <v>69</v>
      </c>
      <c r="B231" s="4">
        <v>1213</v>
      </c>
      <c r="C231" s="5">
        <v>7.72</v>
      </c>
      <c r="D231" s="4">
        <v>22</v>
      </c>
      <c r="E231" s="5">
        <v>0.64</v>
      </c>
      <c r="F231" s="4">
        <v>1191</v>
      </c>
      <c r="G231" s="5">
        <v>9.6999999999999993</v>
      </c>
      <c r="H231" s="4">
        <v>0</v>
      </c>
    </row>
    <row r="232" spans="1:8" x14ac:dyDescent="0.2">
      <c r="A232" s="2" t="s">
        <v>70</v>
      </c>
      <c r="B232" s="4">
        <v>79</v>
      </c>
      <c r="C232" s="5">
        <v>0.5</v>
      </c>
      <c r="D232" s="4">
        <v>4</v>
      </c>
      <c r="E232" s="5">
        <v>0.12</v>
      </c>
      <c r="F232" s="4">
        <v>74</v>
      </c>
      <c r="G232" s="5">
        <v>0.6</v>
      </c>
      <c r="H232" s="4">
        <v>1</v>
      </c>
    </row>
    <row r="233" spans="1:8" x14ac:dyDescent="0.2">
      <c r="A233" s="2" t="s">
        <v>71</v>
      </c>
      <c r="B233" s="4">
        <v>3373</v>
      </c>
      <c r="C233" s="5">
        <v>21.47</v>
      </c>
      <c r="D233" s="4">
        <v>418</v>
      </c>
      <c r="E233" s="5">
        <v>12.25</v>
      </c>
      <c r="F233" s="4">
        <v>2954</v>
      </c>
      <c r="G233" s="5">
        <v>24.06</v>
      </c>
      <c r="H233" s="4">
        <v>1</v>
      </c>
    </row>
    <row r="234" spans="1:8" x14ac:dyDescent="0.2">
      <c r="A234" s="2" t="s">
        <v>72</v>
      </c>
      <c r="B234" s="4">
        <v>88</v>
      </c>
      <c r="C234" s="5">
        <v>0.56000000000000005</v>
      </c>
      <c r="D234" s="4">
        <v>3</v>
      </c>
      <c r="E234" s="5">
        <v>0.09</v>
      </c>
      <c r="F234" s="4">
        <v>85</v>
      </c>
      <c r="G234" s="5">
        <v>0.69</v>
      </c>
      <c r="H234" s="4">
        <v>0</v>
      </c>
    </row>
    <row r="235" spans="1:8" x14ac:dyDescent="0.2">
      <c r="A235" s="2" t="s">
        <v>73</v>
      </c>
      <c r="B235" s="4">
        <v>2350</v>
      </c>
      <c r="C235" s="5">
        <v>14.96</v>
      </c>
      <c r="D235" s="4">
        <v>199</v>
      </c>
      <c r="E235" s="5">
        <v>5.83</v>
      </c>
      <c r="F235" s="4">
        <v>2145</v>
      </c>
      <c r="G235" s="5">
        <v>17.47</v>
      </c>
      <c r="H235" s="4">
        <v>6</v>
      </c>
    </row>
    <row r="236" spans="1:8" x14ac:dyDescent="0.2">
      <c r="A236" s="2" t="s">
        <v>74</v>
      </c>
      <c r="B236" s="4">
        <v>2515</v>
      </c>
      <c r="C236" s="5">
        <v>16.010000000000002</v>
      </c>
      <c r="D236" s="4">
        <v>684</v>
      </c>
      <c r="E236" s="5">
        <v>20.05</v>
      </c>
      <c r="F236" s="4">
        <v>1830</v>
      </c>
      <c r="G236" s="5">
        <v>14.91</v>
      </c>
      <c r="H236" s="4">
        <v>1</v>
      </c>
    </row>
    <row r="237" spans="1:8" x14ac:dyDescent="0.2">
      <c r="A237" s="2" t="s">
        <v>75</v>
      </c>
      <c r="B237" s="4">
        <v>1592</v>
      </c>
      <c r="C237" s="5">
        <v>10.130000000000001</v>
      </c>
      <c r="D237" s="4">
        <v>790</v>
      </c>
      <c r="E237" s="5">
        <v>23.16</v>
      </c>
      <c r="F237" s="4">
        <v>802</v>
      </c>
      <c r="G237" s="5">
        <v>6.53</v>
      </c>
      <c r="H237" s="4">
        <v>0</v>
      </c>
    </row>
    <row r="238" spans="1:8" x14ac:dyDescent="0.2">
      <c r="A238" s="2" t="s">
        <v>76</v>
      </c>
      <c r="B238" s="4">
        <v>1593</v>
      </c>
      <c r="C238" s="5">
        <v>10.14</v>
      </c>
      <c r="D238" s="4">
        <v>670</v>
      </c>
      <c r="E238" s="5">
        <v>19.64</v>
      </c>
      <c r="F238" s="4">
        <v>923</v>
      </c>
      <c r="G238" s="5">
        <v>7.52</v>
      </c>
      <c r="H238" s="4">
        <v>0</v>
      </c>
    </row>
    <row r="239" spans="1:8" x14ac:dyDescent="0.2">
      <c r="A239" s="2" t="s">
        <v>77</v>
      </c>
      <c r="B239" s="4">
        <v>464</v>
      </c>
      <c r="C239" s="5">
        <v>2.95</v>
      </c>
      <c r="D239" s="4">
        <v>156</v>
      </c>
      <c r="E239" s="5">
        <v>4.57</v>
      </c>
      <c r="F239" s="4">
        <v>307</v>
      </c>
      <c r="G239" s="5">
        <v>2.5</v>
      </c>
      <c r="H239" s="4">
        <v>1</v>
      </c>
    </row>
    <row r="240" spans="1:8" x14ac:dyDescent="0.2">
      <c r="A240" s="2" t="s">
        <v>78</v>
      </c>
      <c r="B240" s="4">
        <v>560</v>
      </c>
      <c r="C240" s="5">
        <v>3.57</v>
      </c>
      <c r="D240" s="4">
        <v>360</v>
      </c>
      <c r="E240" s="5">
        <v>10.55</v>
      </c>
      <c r="F240" s="4">
        <v>196</v>
      </c>
      <c r="G240" s="5">
        <v>1.6</v>
      </c>
      <c r="H240" s="4">
        <v>1</v>
      </c>
    </row>
    <row r="241" spans="1:8" x14ac:dyDescent="0.2">
      <c r="A241" s="2" t="s">
        <v>79</v>
      </c>
      <c r="B241" s="4">
        <v>689</v>
      </c>
      <c r="C241" s="5">
        <v>4.3899999999999997</v>
      </c>
      <c r="D241" s="4">
        <v>25</v>
      </c>
      <c r="E241" s="5">
        <v>0.73</v>
      </c>
      <c r="F241" s="4">
        <v>658</v>
      </c>
      <c r="G241" s="5">
        <v>5.36</v>
      </c>
      <c r="H241" s="4">
        <v>4</v>
      </c>
    </row>
    <row r="242" spans="1:8" x14ac:dyDescent="0.2">
      <c r="A242" s="1" t="s">
        <v>15</v>
      </c>
      <c r="B242" s="4">
        <v>7447</v>
      </c>
      <c r="C242" s="5">
        <v>100.00000000000001</v>
      </c>
      <c r="D242" s="4">
        <v>2988</v>
      </c>
      <c r="E242" s="5">
        <v>100.01</v>
      </c>
      <c r="F242" s="4">
        <v>4437</v>
      </c>
      <c r="G242" s="5">
        <v>100.01000000000002</v>
      </c>
      <c r="H242" s="4">
        <v>3</v>
      </c>
    </row>
    <row r="243" spans="1:8" x14ac:dyDescent="0.2">
      <c r="A243" s="2" t="s">
        <v>65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66</v>
      </c>
      <c r="B244" s="4">
        <v>647</v>
      </c>
      <c r="C244" s="5">
        <v>8.69</v>
      </c>
      <c r="D244" s="4">
        <v>93</v>
      </c>
      <c r="E244" s="5">
        <v>3.11</v>
      </c>
      <c r="F244" s="4">
        <v>554</v>
      </c>
      <c r="G244" s="5">
        <v>12.49</v>
      </c>
      <c r="H244" s="4">
        <v>0</v>
      </c>
    </row>
    <row r="245" spans="1:8" x14ac:dyDescent="0.2">
      <c r="A245" s="2" t="s">
        <v>67</v>
      </c>
      <c r="B245" s="4">
        <v>272</v>
      </c>
      <c r="C245" s="5">
        <v>3.65</v>
      </c>
      <c r="D245" s="4">
        <v>49</v>
      </c>
      <c r="E245" s="5">
        <v>1.64</v>
      </c>
      <c r="F245" s="4">
        <v>223</v>
      </c>
      <c r="G245" s="5">
        <v>5.03</v>
      </c>
      <c r="H245" s="4">
        <v>0</v>
      </c>
    </row>
    <row r="246" spans="1:8" x14ac:dyDescent="0.2">
      <c r="A246" s="2" t="s">
        <v>68</v>
      </c>
      <c r="B246" s="4">
        <v>6</v>
      </c>
      <c r="C246" s="5">
        <v>0.08</v>
      </c>
      <c r="D246" s="4">
        <v>0</v>
      </c>
      <c r="E246" s="5">
        <v>0</v>
      </c>
      <c r="F246" s="4">
        <v>6</v>
      </c>
      <c r="G246" s="5">
        <v>0.14000000000000001</v>
      </c>
      <c r="H246" s="4">
        <v>0</v>
      </c>
    </row>
    <row r="247" spans="1:8" x14ac:dyDescent="0.2">
      <c r="A247" s="2" t="s">
        <v>69</v>
      </c>
      <c r="B247" s="4">
        <v>280</v>
      </c>
      <c r="C247" s="5">
        <v>3.76</v>
      </c>
      <c r="D247" s="4">
        <v>8</v>
      </c>
      <c r="E247" s="5">
        <v>0.27</v>
      </c>
      <c r="F247" s="4">
        <v>272</v>
      </c>
      <c r="G247" s="5">
        <v>6.13</v>
      </c>
      <c r="H247" s="4">
        <v>0</v>
      </c>
    </row>
    <row r="248" spans="1:8" x14ac:dyDescent="0.2">
      <c r="A248" s="2" t="s">
        <v>70</v>
      </c>
      <c r="B248" s="4">
        <v>53</v>
      </c>
      <c r="C248" s="5">
        <v>0.71</v>
      </c>
      <c r="D248" s="4">
        <v>25</v>
      </c>
      <c r="E248" s="5">
        <v>0.84</v>
      </c>
      <c r="F248" s="4">
        <v>28</v>
      </c>
      <c r="G248" s="5">
        <v>0.63</v>
      </c>
      <c r="H248" s="4">
        <v>0</v>
      </c>
    </row>
    <row r="249" spans="1:8" x14ac:dyDescent="0.2">
      <c r="A249" s="2" t="s">
        <v>71</v>
      </c>
      <c r="B249" s="4">
        <v>1375</v>
      </c>
      <c r="C249" s="5">
        <v>18.46</v>
      </c>
      <c r="D249" s="4">
        <v>464</v>
      </c>
      <c r="E249" s="5">
        <v>15.53</v>
      </c>
      <c r="F249" s="4">
        <v>911</v>
      </c>
      <c r="G249" s="5">
        <v>20.53</v>
      </c>
      <c r="H249" s="4">
        <v>0</v>
      </c>
    </row>
    <row r="250" spans="1:8" x14ac:dyDescent="0.2">
      <c r="A250" s="2" t="s">
        <v>72</v>
      </c>
      <c r="B250" s="4">
        <v>28</v>
      </c>
      <c r="C250" s="5">
        <v>0.38</v>
      </c>
      <c r="D250" s="4">
        <v>3</v>
      </c>
      <c r="E250" s="5">
        <v>0.1</v>
      </c>
      <c r="F250" s="4">
        <v>25</v>
      </c>
      <c r="G250" s="5">
        <v>0.56000000000000005</v>
      </c>
      <c r="H250" s="4">
        <v>0</v>
      </c>
    </row>
    <row r="251" spans="1:8" x14ac:dyDescent="0.2">
      <c r="A251" s="2" t="s">
        <v>73</v>
      </c>
      <c r="B251" s="4">
        <v>1608</v>
      </c>
      <c r="C251" s="5">
        <v>21.59</v>
      </c>
      <c r="D251" s="4">
        <v>562</v>
      </c>
      <c r="E251" s="5">
        <v>18.809999999999999</v>
      </c>
      <c r="F251" s="4">
        <v>1046</v>
      </c>
      <c r="G251" s="5">
        <v>23.57</v>
      </c>
      <c r="H251" s="4">
        <v>0</v>
      </c>
    </row>
    <row r="252" spans="1:8" x14ac:dyDescent="0.2">
      <c r="A252" s="2" t="s">
        <v>74</v>
      </c>
      <c r="B252" s="4">
        <v>679</v>
      </c>
      <c r="C252" s="5">
        <v>9.1199999999999992</v>
      </c>
      <c r="D252" s="4">
        <v>228</v>
      </c>
      <c r="E252" s="5">
        <v>7.63</v>
      </c>
      <c r="F252" s="4">
        <v>449</v>
      </c>
      <c r="G252" s="5">
        <v>10.119999999999999</v>
      </c>
      <c r="H252" s="4">
        <v>0</v>
      </c>
    </row>
    <row r="253" spans="1:8" x14ac:dyDescent="0.2">
      <c r="A253" s="2" t="s">
        <v>75</v>
      </c>
      <c r="B253" s="4">
        <v>905</v>
      </c>
      <c r="C253" s="5">
        <v>12.15</v>
      </c>
      <c r="D253" s="4">
        <v>662</v>
      </c>
      <c r="E253" s="5">
        <v>22.16</v>
      </c>
      <c r="F253" s="4">
        <v>243</v>
      </c>
      <c r="G253" s="5">
        <v>5.48</v>
      </c>
      <c r="H253" s="4">
        <v>0</v>
      </c>
    </row>
    <row r="254" spans="1:8" x14ac:dyDescent="0.2">
      <c r="A254" s="2" t="s">
        <v>76</v>
      </c>
      <c r="B254" s="4">
        <v>802</v>
      </c>
      <c r="C254" s="5">
        <v>10.77</v>
      </c>
      <c r="D254" s="4">
        <v>488</v>
      </c>
      <c r="E254" s="5">
        <v>16.329999999999998</v>
      </c>
      <c r="F254" s="4">
        <v>314</v>
      </c>
      <c r="G254" s="5">
        <v>7.08</v>
      </c>
      <c r="H254" s="4">
        <v>0</v>
      </c>
    </row>
    <row r="255" spans="1:8" x14ac:dyDescent="0.2">
      <c r="A255" s="2" t="s">
        <v>77</v>
      </c>
      <c r="B255" s="4">
        <v>208</v>
      </c>
      <c r="C255" s="5">
        <v>2.79</v>
      </c>
      <c r="D255" s="4">
        <v>114</v>
      </c>
      <c r="E255" s="5">
        <v>3.82</v>
      </c>
      <c r="F255" s="4">
        <v>93</v>
      </c>
      <c r="G255" s="5">
        <v>2.1</v>
      </c>
      <c r="H255" s="4">
        <v>1</v>
      </c>
    </row>
    <row r="256" spans="1:8" x14ac:dyDescent="0.2">
      <c r="A256" s="2" t="s">
        <v>78</v>
      </c>
      <c r="B256" s="4">
        <v>378</v>
      </c>
      <c r="C256" s="5">
        <v>5.08</v>
      </c>
      <c r="D256" s="4">
        <v>256</v>
      </c>
      <c r="E256" s="5">
        <v>8.57</v>
      </c>
      <c r="F256" s="4">
        <v>120</v>
      </c>
      <c r="G256" s="5">
        <v>2.7</v>
      </c>
      <c r="H256" s="4">
        <v>0</v>
      </c>
    </row>
    <row r="257" spans="1:8" x14ac:dyDescent="0.2">
      <c r="A257" s="2" t="s">
        <v>79</v>
      </c>
      <c r="B257" s="4">
        <v>206</v>
      </c>
      <c r="C257" s="5">
        <v>2.77</v>
      </c>
      <c r="D257" s="4">
        <v>36</v>
      </c>
      <c r="E257" s="5">
        <v>1.2</v>
      </c>
      <c r="F257" s="4">
        <v>153</v>
      </c>
      <c r="G257" s="5">
        <v>3.45</v>
      </c>
      <c r="H257" s="4">
        <v>2</v>
      </c>
    </row>
    <row r="258" spans="1:8" x14ac:dyDescent="0.2">
      <c r="A258" s="1" t="s">
        <v>16</v>
      </c>
      <c r="B258" s="4">
        <v>12177</v>
      </c>
      <c r="C258" s="5">
        <v>99.99</v>
      </c>
      <c r="D258" s="4">
        <v>5129</v>
      </c>
      <c r="E258" s="5">
        <v>100</v>
      </c>
      <c r="F258" s="4">
        <v>7029</v>
      </c>
      <c r="G258" s="5">
        <v>100.01</v>
      </c>
      <c r="H258" s="4">
        <v>10</v>
      </c>
    </row>
    <row r="259" spans="1:8" x14ac:dyDescent="0.2">
      <c r="A259" s="2" t="s">
        <v>65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66</v>
      </c>
      <c r="B260" s="4">
        <v>927</v>
      </c>
      <c r="C260" s="5">
        <v>7.61</v>
      </c>
      <c r="D260" s="4">
        <v>118</v>
      </c>
      <c r="E260" s="5">
        <v>2.2999999999999998</v>
      </c>
      <c r="F260" s="4">
        <v>809</v>
      </c>
      <c r="G260" s="5">
        <v>11.51</v>
      </c>
      <c r="H260" s="4">
        <v>0</v>
      </c>
    </row>
    <row r="261" spans="1:8" x14ac:dyDescent="0.2">
      <c r="A261" s="2" t="s">
        <v>67</v>
      </c>
      <c r="B261" s="4">
        <v>363</v>
      </c>
      <c r="C261" s="5">
        <v>2.98</v>
      </c>
      <c r="D261" s="4">
        <v>66</v>
      </c>
      <c r="E261" s="5">
        <v>1.29</v>
      </c>
      <c r="F261" s="4">
        <v>297</v>
      </c>
      <c r="G261" s="5">
        <v>4.2300000000000004</v>
      </c>
      <c r="H261" s="4">
        <v>0</v>
      </c>
    </row>
    <row r="262" spans="1:8" x14ac:dyDescent="0.2">
      <c r="A262" s="2" t="s">
        <v>68</v>
      </c>
      <c r="B262" s="4">
        <v>10</v>
      </c>
      <c r="C262" s="5">
        <v>0.08</v>
      </c>
      <c r="D262" s="4">
        <v>0</v>
      </c>
      <c r="E262" s="5">
        <v>0</v>
      </c>
      <c r="F262" s="4">
        <v>10</v>
      </c>
      <c r="G262" s="5">
        <v>0.14000000000000001</v>
      </c>
      <c r="H262" s="4">
        <v>0</v>
      </c>
    </row>
    <row r="263" spans="1:8" x14ac:dyDescent="0.2">
      <c r="A263" s="2" t="s">
        <v>69</v>
      </c>
      <c r="B263" s="4">
        <v>475</v>
      </c>
      <c r="C263" s="5">
        <v>3.9</v>
      </c>
      <c r="D263" s="4">
        <v>17</v>
      </c>
      <c r="E263" s="5">
        <v>0.33</v>
      </c>
      <c r="F263" s="4">
        <v>458</v>
      </c>
      <c r="G263" s="5">
        <v>6.52</v>
      </c>
      <c r="H263" s="4">
        <v>0</v>
      </c>
    </row>
    <row r="264" spans="1:8" x14ac:dyDescent="0.2">
      <c r="A264" s="2" t="s">
        <v>70</v>
      </c>
      <c r="B264" s="4">
        <v>88</v>
      </c>
      <c r="C264" s="5">
        <v>0.72</v>
      </c>
      <c r="D264" s="4">
        <v>43</v>
      </c>
      <c r="E264" s="5">
        <v>0.84</v>
      </c>
      <c r="F264" s="4">
        <v>45</v>
      </c>
      <c r="G264" s="5">
        <v>0.64</v>
      </c>
      <c r="H264" s="4">
        <v>0</v>
      </c>
    </row>
    <row r="265" spans="1:8" x14ac:dyDescent="0.2">
      <c r="A265" s="2" t="s">
        <v>71</v>
      </c>
      <c r="B265" s="4">
        <v>2288</v>
      </c>
      <c r="C265" s="5">
        <v>18.79</v>
      </c>
      <c r="D265" s="4">
        <v>876</v>
      </c>
      <c r="E265" s="5">
        <v>17.079999999999998</v>
      </c>
      <c r="F265" s="4">
        <v>1410</v>
      </c>
      <c r="G265" s="5">
        <v>20.059999999999999</v>
      </c>
      <c r="H265" s="4">
        <v>2</v>
      </c>
    </row>
    <row r="266" spans="1:8" x14ac:dyDescent="0.2">
      <c r="A266" s="2" t="s">
        <v>72</v>
      </c>
      <c r="B266" s="4">
        <v>37</v>
      </c>
      <c r="C266" s="5">
        <v>0.3</v>
      </c>
      <c r="D266" s="4">
        <v>1</v>
      </c>
      <c r="E266" s="5">
        <v>0.02</v>
      </c>
      <c r="F266" s="4">
        <v>36</v>
      </c>
      <c r="G266" s="5">
        <v>0.51</v>
      </c>
      <c r="H266" s="4">
        <v>0</v>
      </c>
    </row>
    <row r="267" spans="1:8" x14ac:dyDescent="0.2">
      <c r="A267" s="2" t="s">
        <v>73</v>
      </c>
      <c r="B267" s="4">
        <v>2493</v>
      </c>
      <c r="C267" s="5">
        <v>20.47</v>
      </c>
      <c r="D267" s="4">
        <v>810</v>
      </c>
      <c r="E267" s="5">
        <v>15.79</v>
      </c>
      <c r="F267" s="4">
        <v>1681</v>
      </c>
      <c r="G267" s="5">
        <v>23.92</v>
      </c>
      <c r="H267" s="4">
        <v>2</v>
      </c>
    </row>
    <row r="268" spans="1:8" x14ac:dyDescent="0.2">
      <c r="A268" s="2" t="s">
        <v>74</v>
      </c>
      <c r="B268" s="4">
        <v>1155</v>
      </c>
      <c r="C268" s="5">
        <v>9.49</v>
      </c>
      <c r="D268" s="4">
        <v>420</v>
      </c>
      <c r="E268" s="5">
        <v>8.19</v>
      </c>
      <c r="F268" s="4">
        <v>734</v>
      </c>
      <c r="G268" s="5">
        <v>10.44</v>
      </c>
      <c r="H268" s="4">
        <v>0</v>
      </c>
    </row>
    <row r="269" spans="1:8" x14ac:dyDescent="0.2">
      <c r="A269" s="2" t="s">
        <v>75</v>
      </c>
      <c r="B269" s="4">
        <v>1658</v>
      </c>
      <c r="C269" s="5">
        <v>13.62</v>
      </c>
      <c r="D269" s="4">
        <v>1239</v>
      </c>
      <c r="E269" s="5">
        <v>24.16</v>
      </c>
      <c r="F269" s="4">
        <v>417</v>
      </c>
      <c r="G269" s="5">
        <v>5.93</v>
      </c>
      <c r="H269" s="4">
        <v>1</v>
      </c>
    </row>
    <row r="270" spans="1:8" x14ac:dyDescent="0.2">
      <c r="A270" s="2" t="s">
        <v>76</v>
      </c>
      <c r="B270" s="4">
        <v>1235</v>
      </c>
      <c r="C270" s="5">
        <v>10.14</v>
      </c>
      <c r="D270" s="4">
        <v>726</v>
      </c>
      <c r="E270" s="5">
        <v>14.15</v>
      </c>
      <c r="F270" s="4">
        <v>506</v>
      </c>
      <c r="G270" s="5">
        <v>7.2</v>
      </c>
      <c r="H270" s="4">
        <v>3</v>
      </c>
    </row>
    <row r="271" spans="1:8" x14ac:dyDescent="0.2">
      <c r="A271" s="2" t="s">
        <v>77</v>
      </c>
      <c r="B271" s="4">
        <v>434</v>
      </c>
      <c r="C271" s="5">
        <v>3.56</v>
      </c>
      <c r="D271" s="4">
        <v>275</v>
      </c>
      <c r="E271" s="5">
        <v>5.36</v>
      </c>
      <c r="F271" s="4">
        <v>158</v>
      </c>
      <c r="G271" s="5">
        <v>2.25</v>
      </c>
      <c r="H271" s="4">
        <v>1</v>
      </c>
    </row>
    <row r="272" spans="1:8" x14ac:dyDescent="0.2">
      <c r="A272" s="2" t="s">
        <v>78</v>
      </c>
      <c r="B272" s="4">
        <v>695</v>
      </c>
      <c r="C272" s="5">
        <v>5.71</v>
      </c>
      <c r="D272" s="4">
        <v>475</v>
      </c>
      <c r="E272" s="5">
        <v>9.26</v>
      </c>
      <c r="F272" s="4">
        <v>213</v>
      </c>
      <c r="G272" s="5">
        <v>3.03</v>
      </c>
      <c r="H272" s="4">
        <v>0</v>
      </c>
    </row>
    <row r="273" spans="1:8" x14ac:dyDescent="0.2">
      <c r="A273" s="2" t="s">
        <v>79</v>
      </c>
      <c r="B273" s="4">
        <v>319</v>
      </c>
      <c r="C273" s="5">
        <v>2.62</v>
      </c>
      <c r="D273" s="4">
        <v>63</v>
      </c>
      <c r="E273" s="5">
        <v>1.23</v>
      </c>
      <c r="F273" s="4">
        <v>255</v>
      </c>
      <c r="G273" s="5">
        <v>3.63</v>
      </c>
      <c r="H273" s="4">
        <v>1</v>
      </c>
    </row>
    <row r="274" spans="1:8" x14ac:dyDescent="0.2">
      <c r="A274" s="1" t="s">
        <v>17</v>
      </c>
      <c r="B274" s="4">
        <v>9846</v>
      </c>
      <c r="C274" s="5">
        <v>99.999999999999986</v>
      </c>
      <c r="D274" s="4">
        <v>3138</v>
      </c>
      <c r="E274" s="5">
        <v>100.00999999999999</v>
      </c>
      <c r="F274" s="4">
        <v>6688</v>
      </c>
      <c r="G274" s="5">
        <v>99.99</v>
      </c>
      <c r="H274" s="4">
        <v>19</v>
      </c>
    </row>
    <row r="275" spans="1:8" x14ac:dyDescent="0.2">
      <c r="A275" s="2" t="s">
        <v>65</v>
      </c>
      <c r="B275" s="4">
        <v>1</v>
      </c>
      <c r="C275" s="5">
        <v>0.01</v>
      </c>
      <c r="D275" s="4">
        <v>0</v>
      </c>
      <c r="E275" s="5">
        <v>0</v>
      </c>
      <c r="F275" s="4">
        <v>1</v>
      </c>
      <c r="G275" s="5">
        <v>0.01</v>
      </c>
      <c r="H275" s="4">
        <v>0</v>
      </c>
    </row>
    <row r="276" spans="1:8" x14ac:dyDescent="0.2">
      <c r="A276" s="2" t="s">
        <v>66</v>
      </c>
      <c r="B276" s="4">
        <v>676</v>
      </c>
      <c r="C276" s="5">
        <v>6.87</v>
      </c>
      <c r="D276" s="4">
        <v>55</v>
      </c>
      <c r="E276" s="5">
        <v>1.75</v>
      </c>
      <c r="F276" s="4">
        <v>621</v>
      </c>
      <c r="G276" s="5">
        <v>9.2899999999999991</v>
      </c>
      <c r="H276" s="4">
        <v>0</v>
      </c>
    </row>
    <row r="277" spans="1:8" x14ac:dyDescent="0.2">
      <c r="A277" s="2" t="s">
        <v>67</v>
      </c>
      <c r="B277" s="4">
        <v>526</v>
      </c>
      <c r="C277" s="5">
        <v>5.34</v>
      </c>
      <c r="D277" s="4">
        <v>71</v>
      </c>
      <c r="E277" s="5">
        <v>2.2599999999999998</v>
      </c>
      <c r="F277" s="4">
        <v>455</v>
      </c>
      <c r="G277" s="5">
        <v>6.8</v>
      </c>
      <c r="H277" s="4">
        <v>0</v>
      </c>
    </row>
    <row r="278" spans="1:8" x14ac:dyDescent="0.2">
      <c r="A278" s="2" t="s">
        <v>68</v>
      </c>
      <c r="B278" s="4">
        <v>8</v>
      </c>
      <c r="C278" s="5">
        <v>0.08</v>
      </c>
      <c r="D278" s="4">
        <v>0</v>
      </c>
      <c r="E278" s="5">
        <v>0</v>
      </c>
      <c r="F278" s="4">
        <v>8</v>
      </c>
      <c r="G278" s="5">
        <v>0.12</v>
      </c>
      <c r="H278" s="4">
        <v>0</v>
      </c>
    </row>
    <row r="279" spans="1:8" x14ac:dyDescent="0.2">
      <c r="A279" s="2" t="s">
        <v>69</v>
      </c>
      <c r="B279" s="4">
        <v>449</v>
      </c>
      <c r="C279" s="5">
        <v>4.5599999999999996</v>
      </c>
      <c r="D279" s="4">
        <v>13</v>
      </c>
      <c r="E279" s="5">
        <v>0.41</v>
      </c>
      <c r="F279" s="4">
        <v>435</v>
      </c>
      <c r="G279" s="5">
        <v>6.5</v>
      </c>
      <c r="H279" s="4">
        <v>1</v>
      </c>
    </row>
    <row r="280" spans="1:8" x14ac:dyDescent="0.2">
      <c r="A280" s="2" t="s">
        <v>70</v>
      </c>
      <c r="B280" s="4">
        <v>63</v>
      </c>
      <c r="C280" s="5">
        <v>0.64</v>
      </c>
      <c r="D280" s="4">
        <v>23</v>
      </c>
      <c r="E280" s="5">
        <v>0.73</v>
      </c>
      <c r="F280" s="4">
        <v>40</v>
      </c>
      <c r="G280" s="5">
        <v>0.6</v>
      </c>
      <c r="H280" s="4">
        <v>0</v>
      </c>
    </row>
    <row r="281" spans="1:8" x14ac:dyDescent="0.2">
      <c r="A281" s="2" t="s">
        <v>71</v>
      </c>
      <c r="B281" s="4">
        <v>2051</v>
      </c>
      <c r="C281" s="5">
        <v>20.83</v>
      </c>
      <c r="D281" s="4">
        <v>453</v>
      </c>
      <c r="E281" s="5">
        <v>14.44</v>
      </c>
      <c r="F281" s="4">
        <v>1598</v>
      </c>
      <c r="G281" s="5">
        <v>23.89</v>
      </c>
      <c r="H281" s="4">
        <v>0</v>
      </c>
    </row>
    <row r="282" spans="1:8" x14ac:dyDescent="0.2">
      <c r="A282" s="2" t="s">
        <v>72</v>
      </c>
      <c r="B282" s="4">
        <v>64</v>
      </c>
      <c r="C282" s="5">
        <v>0.65</v>
      </c>
      <c r="D282" s="4">
        <v>3</v>
      </c>
      <c r="E282" s="5">
        <v>0.1</v>
      </c>
      <c r="F282" s="4">
        <v>61</v>
      </c>
      <c r="G282" s="5">
        <v>0.91</v>
      </c>
      <c r="H282" s="4">
        <v>0</v>
      </c>
    </row>
    <row r="283" spans="1:8" x14ac:dyDescent="0.2">
      <c r="A283" s="2" t="s">
        <v>73</v>
      </c>
      <c r="B283" s="4">
        <v>1624</v>
      </c>
      <c r="C283" s="5">
        <v>16.489999999999998</v>
      </c>
      <c r="D283" s="4">
        <v>306</v>
      </c>
      <c r="E283" s="5">
        <v>9.75</v>
      </c>
      <c r="F283" s="4">
        <v>1316</v>
      </c>
      <c r="G283" s="5">
        <v>19.68</v>
      </c>
      <c r="H283" s="4">
        <v>2</v>
      </c>
    </row>
    <row r="284" spans="1:8" x14ac:dyDescent="0.2">
      <c r="A284" s="2" t="s">
        <v>74</v>
      </c>
      <c r="B284" s="4">
        <v>1279</v>
      </c>
      <c r="C284" s="5">
        <v>12.99</v>
      </c>
      <c r="D284" s="4">
        <v>551</v>
      </c>
      <c r="E284" s="5">
        <v>17.559999999999999</v>
      </c>
      <c r="F284" s="4">
        <v>721</v>
      </c>
      <c r="G284" s="5">
        <v>10.78</v>
      </c>
      <c r="H284" s="4">
        <v>6</v>
      </c>
    </row>
    <row r="285" spans="1:8" x14ac:dyDescent="0.2">
      <c r="A285" s="2" t="s">
        <v>75</v>
      </c>
      <c r="B285" s="4">
        <v>1126</v>
      </c>
      <c r="C285" s="5">
        <v>11.44</v>
      </c>
      <c r="D285" s="4">
        <v>699</v>
      </c>
      <c r="E285" s="5">
        <v>22.28</v>
      </c>
      <c r="F285" s="4">
        <v>427</v>
      </c>
      <c r="G285" s="5">
        <v>6.38</v>
      </c>
      <c r="H285" s="4">
        <v>0</v>
      </c>
    </row>
    <row r="286" spans="1:8" x14ac:dyDescent="0.2">
      <c r="A286" s="2" t="s">
        <v>76</v>
      </c>
      <c r="B286" s="4">
        <v>820</v>
      </c>
      <c r="C286" s="5">
        <v>8.33</v>
      </c>
      <c r="D286" s="4">
        <v>467</v>
      </c>
      <c r="E286" s="5">
        <v>14.88</v>
      </c>
      <c r="F286" s="4">
        <v>351</v>
      </c>
      <c r="G286" s="5">
        <v>5.25</v>
      </c>
      <c r="H286" s="4">
        <v>2</v>
      </c>
    </row>
    <row r="287" spans="1:8" x14ac:dyDescent="0.2">
      <c r="A287" s="2" t="s">
        <v>77</v>
      </c>
      <c r="B287" s="4">
        <v>294</v>
      </c>
      <c r="C287" s="5">
        <v>2.99</v>
      </c>
      <c r="D287" s="4">
        <v>132</v>
      </c>
      <c r="E287" s="5">
        <v>4.21</v>
      </c>
      <c r="F287" s="4">
        <v>161</v>
      </c>
      <c r="G287" s="5">
        <v>2.41</v>
      </c>
      <c r="H287" s="4">
        <v>1</v>
      </c>
    </row>
    <row r="288" spans="1:8" x14ac:dyDescent="0.2">
      <c r="A288" s="2" t="s">
        <v>78</v>
      </c>
      <c r="B288" s="4">
        <v>517</v>
      </c>
      <c r="C288" s="5">
        <v>5.25</v>
      </c>
      <c r="D288" s="4">
        <v>346</v>
      </c>
      <c r="E288" s="5">
        <v>11.03</v>
      </c>
      <c r="F288" s="4">
        <v>168</v>
      </c>
      <c r="G288" s="5">
        <v>2.5099999999999998</v>
      </c>
      <c r="H288" s="4">
        <v>3</v>
      </c>
    </row>
    <row r="289" spans="1:8" x14ac:dyDescent="0.2">
      <c r="A289" s="2" t="s">
        <v>79</v>
      </c>
      <c r="B289" s="4">
        <v>348</v>
      </c>
      <c r="C289" s="5">
        <v>3.53</v>
      </c>
      <c r="D289" s="4">
        <v>19</v>
      </c>
      <c r="E289" s="5">
        <v>0.61</v>
      </c>
      <c r="F289" s="4">
        <v>325</v>
      </c>
      <c r="G289" s="5">
        <v>4.8600000000000003</v>
      </c>
      <c r="H289" s="4">
        <v>4</v>
      </c>
    </row>
    <row r="290" spans="1:8" x14ac:dyDescent="0.2">
      <c r="A290" s="1" t="s">
        <v>18</v>
      </c>
      <c r="B290" s="4">
        <v>7124</v>
      </c>
      <c r="C290" s="5">
        <v>100.00000000000001</v>
      </c>
      <c r="D290" s="4">
        <v>3032</v>
      </c>
      <c r="E290" s="5">
        <v>100.00999999999999</v>
      </c>
      <c r="F290" s="4">
        <v>4079</v>
      </c>
      <c r="G290" s="5">
        <v>99.97999999999999</v>
      </c>
      <c r="H290" s="4">
        <v>8</v>
      </c>
    </row>
    <row r="291" spans="1:8" x14ac:dyDescent="0.2">
      <c r="A291" s="2" t="s">
        <v>65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66</v>
      </c>
      <c r="B292" s="4">
        <v>722</v>
      </c>
      <c r="C292" s="5">
        <v>10.130000000000001</v>
      </c>
      <c r="D292" s="4">
        <v>88</v>
      </c>
      <c r="E292" s="5">
        <v>2.9</v>
      </c>
      <c r="F292" s="4">
        <v>634</v>
      </c>
      <c r="G292" s="5">
        <v>15.54</v>
      </c>
      <c r="H292" s="4">
        <v>0</v>
      </c>
    </row>
    <row r="293" spans="1:8" x14ac:dyDescent="0.2">
      <c r="A293" s="2" t="s">
        <v>67</v>
      </c>
      <c r="B293" s="4">
        <v>657</v>
      </c>
      <c r="C293" s="5">
        <v>9.2200000000000006</v>
      </c>
      <c r="D293" s="4">
        <v>133</v>
      </c>
      <c r="E293" s="5">
        <v>4.3899999999999997</v>
      </c>
      <c r="F293" s="4">
        <v>524</v>
      </c>
      <c r="G293" s="5">
        <v>12.85</v>
      </c>
      <c r="H293" s="4">
        <v>0</v>
      </c>
    </row>
    <row r="294" spans="1:8" x14ac:dyDescent="0.2">
      <c r="A294" s="2" t="s">
        <v>68</v>
      </c>
      <c r="B294" s="4">
        <v>1</v>
      </c>
      <c r="C294" s="5">
        <v>0.01</v>
      </c>
      <c r="D294" s="4">
        <v>0</v>
      </c>
      <c r="E294" s="5">
        <v>0</v>
      </c>
      <c r="F294" s="4">
        <v>1</v>
      </c>
      <c r="G294" s="5">
        <v>0.02</v>
      </c>
      <c r="H294" s="4">
        <v>0</v>
      </c>
    </row>
    <row r="295" spans="1:8" x14ac:dyDescent="0.2">
      <c r="A295" s="2" t="s">
        <v>69</v>
      </c>
      <c r="B295" s="4">
        <v>136</v>
      </c>
      <c r="C295" s="5">
        <v>1.91</v>
      </c>
      <c r="D295" s="4">
        <v>6</v>
      </c>
      <c r="E295" s="5">
        <v>0.2</v>
      </c>
      <c r="F295" s="4">
        <v>130</v>
      </c>
      <c r="G295" s="5">
        <v>3.19</v>
      </c>
      <c r="H295" s="4">
        <v>0</v>
      </c>
    </row>
    <row r="296" spans="1:8" x14ac:dyDescent="0.2">
      <c r="A296" s="2" t="s">
        <v>70</v>
      </c>
      <c r="B296" s="4">
        <v>101</v>
      </c>
      <c r="C296" s="5">
        <v>1.42</v>
      </c>
      <c r="D296" s="4">
        <v>58</v>
      </c>
      <c r="E296" s="5">
        <v>1.91</v>
      </c>
      <c r="F296" s="4">
        <v>43</v>
      </c>
      <c r="G296" s="5">
        <v>1.05</v>
      </c>
      <c r="H296" s="4">
        <v>0</v>
      </c>
    </row>
    <row r="297" spans="1:8" x14ac:dyDescent="0.2">
      <c r="A297" s="2" t="s">
        <v>71</v>
      </c>
      <c r="B297" s="4">
        <v>1448</v>
      </c>
      <c r="C297" s="5">
        <v>20.329999999999998</v>
      </c>
      <c r="D297" s="4">
        <v>574</v>
      </c>
      <c r="E297" s="5">
        <v>18.93</v>
      </c>
      <c r="F297" s="4">
        <v>873</v>
      </c>
      <c r="G297" s="5">
        <v>21.4</v>
      </c>
      <c r="H297" s="4">
        <v>1</v>
      </c>
    </row>
    <row r="298" spans="1:8" x14ac:dyDescent="0.2">
      <c r="A298" s="2" t="s">
        <v>72</v>
      </c>
      <c r="B298" s="4">
        <v>45</v>
      </c>
      <c r="C298" s="5">
        <v>0.63</v>
      </c>
      <c r="D298" s="4">
        <v>3</v>
      </c>
      <c r="E298" s="5">
        <v>0.1</v>
      </c>
      <c r="F298" s="4">
        <v>42</v>
      </c>
      <c r="G298" s="5">
        <v>1.03</v>
      </c>
      <c r="H298" s="4">
        <v>0</v>
      </c>
    </row>
    <row r="299" spans="1:8" x14ac:dyDescent="0.2">
      <c r="A299" s="2" t="s">
        <v>73</v>
      </c>
      <c r="B299" s="4">
        <v>1221</v>
      </c>
      <c r="C299" s="5">
        <v>17.14</v>
      </c>
      <c r="D299" s="4">
        <v>485</v>
      </c>
      <c r="E299" s="5">
        <v>16</v>
      </c>
      <c r="F299" s="4">
        <v>735</v>
      </c>
      <c r="G299" s="5">
        <v>18.02</v>
      </c>
      <c r="H299" s="4">
        <v>1</v>
      </c>
    </row>
    <row r="300" spans="1:8" x14ac:dyDescent="0.2">
      <c r="A300" s="2" t="s">
        <v>74</v>
      </c>
      <c r="B300" s="4">
        <v>456</v>
      </c>
      <c r="C300" s="5">
        <v>6.4</v>
      </c>
      <c r="D300" s="4">
        <v>162</v>
      </c>
      <c r="E300" s="5">
        <v>5.34</v>
      </c>
      <c r="F300" s="4">
        <v>291</v>
      </c>
      <c r="G300" s="5">
        <v>7.13</v>
      </c>
      <c r="H300" s="4">
        <v>1</v>
      </c>
    </row>
    <row r="301" spans="1:8" x14ac:dyDescent="0.2">
      <c r="A301" s="2" t="s">
        <v>75</v>
      </c>
      <c r="B301" s="4">
        <v>886</v>
      </c>
      <c r="C301" s="5">
        <v>12.44</v>
      </c>
      <c r="D301" s="4">
        <v>656</v>
      </c>
      <c r="E301" s="5">
        <v>21.64</v>
      </c>
      <c r="F301" s="4">
        <v>229</v>
      </c>
      <c r="G301" s="5">
        <v>5.61</v>
      </c>
      <c r="H301" s="4">
        <v>1</v>
      </c>
    </row>
    <row r="302" spans="1:8" x14ac:dyDescent="0.2">
      <c r="A302" s="2" t="s">
        <v>76</v>
      </c>
      <c r="B302" s="4">
        <v>705</v>
      </c>
      <c r="C302" s="5">
        <v>9.9</v>
      </c>
      <c r="D302" s="4">
        <v>469</v>
      </c>
      <c r="E302" s="5">
        <v>15.47</v>
      </c>
      <c r="F302" s="4">
        <v>235</v>
      </c>
      <c r="G302" s="5">
        <v>5.76</v>
      </c>
      <c r="H302" s="4">
        <v>1</v>
      </c>
    </row>
    <row r="303" spans="1:8" x14ac:dyDescent="0.2">
      <c r="A303" s="2" t="s">
        <v>77</v>
      </c>
      <c r="B303" s="4">
        <v>175</v>
      </c>
      <c r="C303" s="5">
        <v>2.46</v>
      </c>
      <c r="D303" s="4">
        <v>110</v>
      </c>
      <c r="E303" s="5">
        <v>3.63</v>
      </c>
      <c r="F303" s="4">
        <v>64</v>
      </c>
      <c r="G303" s="5">
        <v>1.57</v>
      </c>
      <c r="H303" s="4">
        <v>1</v>
      </c>
    </row>
    <row r="304" spans="1:8" x14ac:dyDescent="0.2">
      <c r="A304" s="2" t="s">
        <v>78</v>
      </c>
      <c r="B304" s="4">
        <v>377</v>
      </c>
      <c r="C304" s="5">
        <v>5.29</v>
      </c>
      <c r="D304" s="4">
        <v>260</v>
      </c>
      <c r="E304" s="5">
        <v>8.58</v>
      </c>
      <c r="F304" s="4">
        <v>116</v>
      </c>
      <c r="G304" s="5">
        <v>2.84</v>
      </c>
      <c r="H304" s="4">
        <v>0</v>
      </c>
    </row>
    <row r="305" spans="1:8" x14ac:dyDescent="0.2">
      <c r="A305" s="2" t="s">
        <v>79</v>
      </c>
      <c r="B305" s="4">
        <v>194</v>
      </c>
      <c r="C305" s="5">
        <v>2.72</v>
      </c>
      <c r="D305" s="4">
        <v>28</v>
      </c>
      <c r="E305" s="5">
        <v>0.92</v>
      </c>
      <c r="F305" s="4">
        <v>162</v>
      </c>
      <c r="G305" s="5">
        <v>3.97</v>
      </c>
      <c r="H305" s="4">
        <v>2</v>
      </c>
    </row>
    <row r="306" spans="1:8" x14ac:dyDescent="0.2">
      <c r="A306" s="1" t="s">
        <v>19</v>
      </c>
      <c r="B306" s="4">
        <v>5363</v>
      </c>
      <c r="C306" s="5">
        <v>99.999999999999986</v>
      </c>
      <c r="D306" s="4">
        <v>2240</v>
      </c>
      <c r="E306" s="5">
        <v>99.98</v>
      </c>
      <c r="F306" s="4">
        <v>3112</v>
      </c>
      <c r="G306" s="5">
        <v>99.99</v>
      </c>
      <c r="H306" s="4">
        <v>6</v>
      </c>
    </row>
    <row r="307" spans="1:8" x14ac:dyDescent="0.2">
      <c r="A307" s="2" t="s">
        <v>65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66</v>
      </c>
      <c r="B308" s="4">
        <v>495</v>
      </c>
      <c r="C308" s="5">
        <v>9.23</v>
      </c>
      <c r="D308" s="4">
        <v>74</v>
      </c>
      <c r="E308" s="5">
        <v>3.3</v>
      </c>
      <c r="F308" s="4">
        <v>421</v>
      </c>
      <c r="G308" s="5">
        <v>13.53</v>
      </c>
      <c r="H308" s="4">
        <v>0</v>
      </c>
    </row>
    <row r="309" spans="1:8" x14ac:dyDescent="0.2">
      <c r="A309" s="2" t="s">
        <v>67</v>
      </c>
      <c r="B309" s="4">
        <v>1099</v>
      </c>
      <c r="C309" s="5">
        <v>20.49</v>
      </c>
      <c r="D309" s="4">
        <v>326</v>
      </c>
      <c r="E309" s="5">
        <v>14.55</v>
      </c>
      <c r="F309" s="4">
        <v>773</v>
      </c>
      <c r="G309" s="5">
        <v>24.84</v>
      </c>
      <c r="H309" s="4">
        <v>0</v>
      </c>
    </row>
    <row r="310" spans="1:8" x14ac:dyDescent="0.2">
      <c r="A310" s="2" t="s">
        <v>68</v>
      </c>
      <c r="B310" s="4">
        <v>3</v>
      </c>
      <c r="C310" s="5">
        <v>0.06</v>
      </c>
      <c r="D310" s="4">
        <v>0</v>
      </c>
      <c r="E310" s="5">
        <v>0</v>
      </c>
      <c r="F310" s="4">
        <v>3</v>
      </c>
      <c r="G310" s="5">
        <v>0.1</v>
      </c>
      <c r="H310" s="4">
        <v>0</v>
      </c>
    </row>
    <row r="311" spans="1:8" x14ac:dyDescent="0.2">
      <c r="A311" s="2" t="s">
        <v>69</v>
      </c>
      <c r="B311" s="4">
        <v>77</v>
      </c>
      <c r="C311" s="5">
        <v>1.44</v>
      </c>
      <c r="D311" s="4">
        <v>2</v>
      </c>
      <c r="E311" s="5">
        <v>0.09</v>
      </c>
      <c r="F311" s="4">
        <v>75</v>
      </c>
      <c r="G311" s="5">
        <v>2.41</v>
      </c>
      <c r="H311" s="4">
        <v>0</v>
      </c>
    </row>
    <row r="312" spans="1:8" x14ac:dyDescent="0.2">
      <c r="A312" s="2" t="s">
        <v>70</v>
      </c>
      <c r="B312" s="4">
        <v>66</v>
      </c>
      <c r="C312" s="5">
        <v>1.23</v>
      </c>
      <c r="D312" s="4">
        <v>31</v>
      </c>
      <c r="E312" s="5">
        <v>1.38</v>
      </c>
      <c r="F312" s="4">
        <v>35</v>
      </c>
      <c r="G312" s="5">
        <v>1.1200000000000001</v>
      </c>
      <c r="H312" s="4">
        <v>0</v>
      </c>
    </row>
    <row r="313" spans="1:8" x14ac:dyDescent="0.2">
      <c r="A313" s="2" t="s">
        <v>71</v>
      </c>
      <c r="B313" s="4">
        <v>1246</v>
      </c>
      <c r="C313" s="5">
        <v>23.23</v>
      </c>
      <c r="D313" s="4">
        <v>485</v>
      </c>
      <c r="E313" s="5">
        <v>21.65</v>
      </c>
      <c r="F313" s="4">
        <v>761</v>
      </c>
      <c r="G313" s="5">
        <v>24.45</v>
      </c>
      <c r="H313" s="4">
        <v>0</v>
      </c>
    </row>
    <row r="314" spans="1:8" x14ac:dyDescent="0.2">
      <c r="A314" s="2" t="s">
        <v>72</v>
      </c>
      <c r="B314" s="4">
        <v>14</v>
      </c>
      <c r="C314" s="5">
        <v>0.26</v>
      </c>
      <c r="D314" s="4">
        <v>3</v>
      </c>
      <c r="E314" s="5">
        <v>0.13</v>
      </c>
      <c r="F314" s="4">
        <v>11</v>
      </c>
      <c r="G314" s="5">
        <v>0.35</v>
      </c>
      <c r="H314" s="4">
        <v>0</v>
      </c>
    </row>
    <row r="315" spans="1:8" x14ac:dyDescent="0.2">
      <c r="A315" s="2" t="s">
        <v>73</v>
      </c>
      <c r="B315" s="4">
        <v>616</v>
      </c>
      <c r="C315" s="5">
        <v>11.49</v>
      </c>
      <c r="D315" s="4">
        <v>253</v>
      </c>
      <c r="E315" s="5">
        <v>11.29</v>
      </c>
      <c r="F315" s="4">
        <v>362</v>
      </c>
      <c r="G315" s="5">
        <v>11.63</v>
      </c>
      <c r="H315" s="4">
        <v>1</v>
      </c>
    </row>
    <row r="316" spans="1:8" x14ac:dyDescent="0.2">
      <c r="A316" s="2" t="s">
        <v>74</v>
      </c>
      <c r="B316" s="4">
        <v>250</v>
      </c>
      <c r="C316" s="5">
        <v>4.66</v>
      </c>
      <c r="D316" s="4">
        <v>110</v>
      </c>
      <c r="E316" s="5">
        <v>4.91</v>
      </c>
      <c r="F316" s="4">
        <v>138</v>
      </c>
      <c r="G316" s="5">
        <v>4.43</v>
      </c>
      <c r="H316" s="4">
        <v>0</v>
      </c>
    </row>
    <row r="317" spans="1:8" x14ac:dyDescent="0.2">
      <c r="A317" s="2" t="s">
        <v>75</v>
      </c>
      <c r="B317" s="4">
        <v>606</v>
      </c>
      <c r="C317" s="5">
        <v>11.3</v>
      </c>
      <c r="D317" s="4">
        <v>460</v>
      </c>
      <c r="E317" s="5">
        <v>20.54</v>
      </c>
      <c r="F317" s="4">
        <v>146</v>
      </c>
      <c r="G317" s="5">
        <v>4.6900000000000004</v>
      </c>
      <c r="H317" s="4">
        <v>0</v>
      </c>
    </row>
    <row r="318" spans="1:8" x14ac:dyDescent="0.2">
      <c r="A318" s="2" t="s">
        <v>76</v>
      </c>
      <c r="B318" s="4">
        <v>449</v>
      </c>
      <c r="C318" s="5">
        <v>8.3699999999999992</v>
      </c>
      <c r="D318" s="4">
        <v>300</v>
      </c>
      <c r="E318" s="5">
        <v>13.39</v>
      </c>
      <c r="F318" s="4">
        <v>148</v>
      </c>
      <c r="G318" s="5">
        <v>4.76</v>
      </c>
      <c r="H318" s="4">
        <v>0</v>
      </c>
    </row>
    <row r="319" spans="1:8" x14ac:dyDescent="0.2">
      <c r="A319" s="2" t="s">
        <v>77</v>
      </c>
      <c r="B319" s="4">
        <v>104</v>
      </c>
      <c r="C319" s="5">
        <v>1.94</v>
      </c>
      <c r="D319" s="4">
        <v>62</v>
      </c>
      <c r="E319" s="5">
        <v>2.77</v>
      </c>
      <c r="F319" s="4">
        <v>40</v>
      </c>
      <c r="G319" s="5">
        <v>1.29</v>
      </c>
      <c r="H319" s="4">
        <v>2</v>
      </c>
    </row>
    <row r="320" spans="1:8" x14ac:dyDescent="0.2">
      <c r="A320" s="2" t="s">
        <v>78</v>
      </c>
      <c r="B320" s="4">
        <v>213</v>
      </c>
      <c r="C320" s="5">
        <v>3.97</v>
      </c>
      <c r="D320" s="4">
        <v>114</v>
      </c>
      <c r="E320" s="5">
        <v>5.09</v>
      </c>
      <c r="F320" s="4">
        <v>99</v>
      </c>
      <c r="G320" s="5">
        <v>3.18</v>
      </c>
      <c r="H320" s="4">
        <v>0</v>
      </c>
    </row>
    <row r="321" spans="1:8" x14ac:dyDescent="0.2">
      <c r="A321" s="2" t="s">
        <v>79</v>
      </c>
      <c r="B321" s="4">
        <v>125</v>
      </c>
      <c r="C321" s="5">
        <v>2.33</v>
      </c>
      <c r="D321" s="4">
        <v>20</v>
      </c>
      <c r="E321" s="5">
        <v>0.89</v>
      </c>
      <c r="F321" s="4">
        <v>100</v>
      </c>
      <c r="G321" s="5">
        <v>3.21</v>
      </c>
      <c r="H321" s="4">
        <v>3</v>
      </c>
    </row>
    <row r="322" spans="1:8" x14ac:dyDescent="0.2">
      <c r="A322" s="1" t="s">
        <v>20</v>
      </c>
      <c r="B322" s="4">
        <v>10416</v>
      </c>
      <c r="C322" s="5">
        <v>99.99</v>
      </c>
      <c r="D322" s="4">
        <v>4045</v>
      </c>
      <c r="E322" s="5">
        <v>100.01</v>
      </c>
      <c r="F322" s="4">
        <v>6345</v>
      </c>
      <c r="G322" s="5">
        <v>100.02000000000001</v>
      </c>
      <c r="H322" s="4">
        <v>7</v>
      </c>
    </row>
    <row r="323" spans="1:8" x14ac:dyDescent="0.2">
      <c r="A323" s="2" t="s">
        <v>65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66</v>
      </c>
      <c r="B324" s="4">
        <v>1327</v>
      </c>
      <c r="C324" s="5">
        <v>12.74</v>
      </c>
      <c r="D324" s="4">
        <v>152</v>
      </c>
      <c r="E324" s="5">
        <v>3.76</v>
      </c>
      <c r="F324" s="4">
        <v>1175</v>
      </c>
      <c r="G324" s="5">
        <v>18.52</v>
      </c>
      <c r="H324" s="4">
        <v>0</v>
      </c>
    </row>
    <row r="325" spans="1:8" x14ac:dyDescent="0.2">
      <c r="A325" s="2" t="s">
        <v>67</v>
      </c>
      <c r="B325" s="4">
        <v>1195</v>
      </c>
      <c r="C325" s="5">
        <v>11.47</v>
      </c>
      <c r="D325" s="4">
        <v>239</v>
      </c>
      <c r="E325" s="5">
        <v>5.91</v>
      </c>
      <c r="F325" s="4">
        <v>956</v>
      </c>
      <c r="G325" s="5">
        <v>15.07</v>
      </c>
      <c r="H325" s="4">
        <v>0</v>
      </c>
    </row>
    <row r="326" spans="1:8" x14ac:dyDescent="0.2">
      <c r="A326" s="2" t="s">
        <v>68</v>
      </c>
      <c r="B326" s="4">
        <v>5</v>
      </c>
      <c r="C326" s="5">
        <v>0.05</v>
      </c>
      <c r="D326" s="4">
        <v>0</v>
      </c>
      <c r="E326" s="5">
        <v>0</v>
      </c>
      <c r="F326" s="4">
        <v>5</v>
      </c>
      <c r="G326" s="5">
        <v>0.08</v>
      </c>
      <c r="H326" s="4">
        <v>0</v>
      </c>
    </row>
    <row r="327" spans="1:8" x14ac:dyDescent="0.2">
      <c r="A327" s="2" t="s">
        <v>69</v>
      </c>
      <c r="B327" s="4">
        <v>245</v>
      </c>
      <c r="C327" s="5">
        <v>2.35</v>
      </c>
      <c r="D327" s="4">
        <v>8</v>
      </c>
      <c r="E327" s="5">
        <v>0.2</v>
      </c>
      <c r="F327" s="4">
        <v>237</v>
      </c>
      <c r="G327" s="5">
        <v>3.74</v>
      </c>
      <c r="H327" s="4">
        <v>0</v>
      </c>
    </row>
    <row r="328" spans="1:8" x14ac:dyDescent="0.2">
      <c r="A328" s="2" t="s">
        <v>70</v>
      </c>
      <c r="B328" s="4">
        <v>219</v>
      </c>
      <c r="C328" s="5">
        <v>2.1</v>
      </c>
      <c r="D328" s="4">
        <v>128</v>
      </c>
      <c r="E328" s="5">
        <v>3.16</v>
      </c>
      <c r="F328" s="4">
        <v>90</v>
      </c>
      <c r="G328" s="5">
        <v>1.42</v>
      </c>
      <c r="H328" s="4">
        <v>0</v>
      </c>
    </row>
    <row r="329" spans="1:8" x14ac:dyDescent="0.2">
      <c r="A329" s="2" t="s">
        <v>71</v>
      </c>
      <c r="B329" s="4">
        <v>1967</v>
      </c>
      <c r="C329" s="5">
        <v>18.88</v>
      </c>
      <c r="D329" s="4">
        <v>681</v>
      </c>
      <c r="E329" s="5">
        <v>16.84</v>
      </c>
      <c r="F329" s="4">
        <v>1286</v>
      </c>
      <c r="G329" s="5">
        <v>20.27</v>
      </c>
      <c r="H329" s="4">
        <v>0</v>
      </c>
    </row>
    <row r="330" spans="1:8" x14ac:dyDescent="0.2">
      <c r="A330" s="2" t="s">
        <v>72</v>
      </c>
      <c r="B330" s="4">
        <v>49</v>
      </c>
      <c r="C330" s="5">
        <v>0.47</v>
      </c>
      <c r="D330" s="4">
        <v>5</v>
      </c>
      <c r="E330" s="5">
        <v>0.12</v>
      </c>
      <c r="F330" s="4">
        <v>44</v>
      </c>
      <c r="G330" s="5">
        <v>0.69</v>
      </c>
      <c r="H330" s="4">
        <v>0</v>
      </c>
    </row>
    <row r="331" spans="1:8" x14ac:dyDescent="0.2">
      <c r="A331" s="2" t="s">
        <v>73</v>
      </c>
      <c r="B331" s="4">
        <v>1339</v>
      </c>
      <c r="C331" s="5">
        <v>12.86</v>
      </c>
      <c r="D331" s="4">
        <v>326</v>
      </c>
      <c r="E331" s="5">
        <v>8.06</v>
      </c>
      <c r="F331" s="4">
        <v>1010</v>
      </c>
      <c r="G331" s="5">
        <v>15.92</v>
      </c>
      <c r="H331" s="4">
        <v>2</v>
      </c>
    </row>
    <row r="332" spans="1:8" x14ac:dyDescent="0.2">
      <c r="A332" s="2" t="s">
        <v>74</v>
      </c>
      <c r="B332" s="4">
        <v>622</v>
      </c>
      <c r="C332" s="5">
        <v>5.97</v>
      </c>
      <c r="D332" s="4">
        <v>245</v>
      </c>
      <c r="E332" s="5">
        <v>6.06</v>
      </c>
      <c r="F332" s="4">
        <v>375</v>
      </c>
      <c r="G332" s="5">
        <v>5.91</v>
      </c>
      <c r="H332" s="4">
        <v>1</v>
      </c>
    </row>
    <row r="333" spans="1:8" x14ac:dyDescent="0.2">
      <c r="A333" s="2" t="s">
        <v>75</v>
      </c>
      <c r="B333" s="4">
        <v>1196</v>
      </c>
      <c r="C333" s="5">
        <v>11.48</v>
      </c>
      <c r="D333" s="4">
        <v>900</v>
      </c>
      <c r="E333" s="5">
        <v>22.25</v>
      </c>
      <c r="F333" s="4">
        <v>295</v>
      </c>
      <c r="G333" s="5">
        <v>4.6500000000000004</v>
      </c>
      <c r="H333" s="4">
        <v>0</v>
      </c>
    </row>
    <row r="334" spans="1:8" x14ac:dyDescent="0.2">
      <c r="A334" s="2" t="s">
        <v>76</v>
      </c>
      <c r="B334" s="4">
        <v>1050</v>
      </c>
      <c r="C334" s="5">
        <v>10.08</v>
      </c>
      <c r="D334" s="4">
        <v>708</v>
      </c>
      <c r="E334" s="5">
        <v>17.5</v>
      </c>
      <c r="F334" s="4">
        <v>342</v>
      </c>
      <c r="G334" s="5">
        <v>5.39</v>
      </c>
      <c r="H334" s="4">
        <v>0</v>
      </c>
    </row>
    <row r="335" spans="1:8" x14ac:dyDescent="0.2">
      <c r="A335" s="2" t="s">
        <v>77</v>
      </c>
      <c r="B335" s="4">
        <v>325</v>
      </c>
      <c r="C335" s="5">
        <v>3.12</v>
      </c>
      <c r="D335" s="4">
        <v>213</v>
      </c>
      <c r="E335" s="5">
        <v>5.27</v>
      </c>
      <c r="F335" s="4">
        <v>107</v>
      </c>
      <c r="G335" s="5">
        <v>1.69</v>
      </c>
      <c r="H335" s="4">
        <v>1</v>
      </c>
    </row>
    <row r="336" spans="1:8" x14ac:dyDescent="0.2">
      <c r="A336" s="2" t="s">
        <v>78</v>
      </c>
      <c r="B336" s="4">
        <v>543</v>
      </c>
      <c r="C336" s="5">
        <v>5.21</v>
      </c>
      <c r="D336" s="4">
        <v>389</v>
      </c>
      <c r="E336" s="5">
        <v>9.6199999999999992</v>
      </c>
      <c r="F336" s="4">
        <v>144</v>
      </c>
      <c r="G336" s="5">
        <v>2.27</v>
      </c>
      <c r="H336" s="4">
        <v>2</v>
      </c>
    </row>
    <row r="337" spans="1:8" x14ac:dyDescent="0.2">
      <c r="A337" s="2" t="s">
        <v>79</v>
      </c>
      <c r="B337" s="4">
        <v>334</v>
      </c>
      <c r="C337" s="5">
        <v>3.21</v>
      </c>
      <c r="D337" s="4">
        <v>51</v>
      </c>
      <c r="E337" s="5">
        <v>1.26</v>
      </c>
      <c r="F337" s="4">
        <v>279</v>
      </c>
      <c r="G337" s="5">
        <v>4.4000000000000004</v>
      </c>
      <c r="H337" s="4">
        <v>1</v>
      </c>
    </row>
    <row r="338" spans="1:8" x14ac:dyDescent="0.2">
      <c r="A338" s="1" t="s">
        <v>21</v>
      </c>
      <c r="B338" s="4">
        <v>12683</v>
      </c>
      <c r="C338" s="5">
        <v>99.999999999999986</v>
      </c>
      <c r="D338" s="4">
        <v>4742</v>
      </c>
      <c r="E338" s="5">
        <v>100.00999999999998</v>
      </c>
      <c r="F338" s="4">
        <v>7912</v>
      </c>
      <c r="G338" s="5">
        <v>100.01</v>
      </c>
      <c r="H338" s="4">
        <v>6</v>
      </c>
    </row>
    <row r="339" spans="1:8" x14ac:dyDescent="0.2">
      <c r="A339" s="2" t="s">
        <v>65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66</v>
      </c>
      <c r="B340" s="4">
        <v>2014</v>
      </c>
      <c r="C340" s="5">
        <v>15.88</v>
      </c>
      <c r="D340" s="4">
        <v>246</v>
      </c>
      <c r="E340" s="5">
        <v>5.19</v>
      </c>
      <c r="F340" s="4">
        <v>1768</v>
      </c>
      <c r="G340" s="5">
        <v>22.35</v>
      </c>
      <c r="H340" s="4">
        <v>0</v>
      </c>
    </row>
    <row r="341" spans="1:8" x14ac:dyDescent="0.2">
      <c r="A341" s="2" t="s">
        <v>67</v>
      </c>
      <c r="B341" s="4">
        <v>621</v>
      </c>
      <c r="C341" s="5">
        <v>4.9000000000000004</v>
      </c>
      <c r="D341" s="4">
        <v>145</v>
      </c>
      <c r="E341" s="5">
        <v>3.06</v>
      </c>
      <c r="F341" s="4">
        <v>476</v>
      </c>
      <c r="G341" s="5">
        <v>6.02</v>
      </c>
      <c r="H341" s="4">
        <v>0</v>
      </c>
    </row>
    <row r="342" spans="1:8" x14ac:dyDescent="0.2">
      <c r="A342" s="2" t="s">
        <v>68</v>
      </c>
      <c r="B342" s="4">
        <v>4</v>
      </c>
      <c r="C342" s="5">
        <v>0.03</v>
      </c>
      <c r="D342" s="4">
        <v>0</v>
      </c>
      <c r="E342" s="5">
        <v>0</v>
      </c>
      <c r="F342" s="4">
        <v>3</v>
      </c>
      <c r="G342" s="5">
        <v>0.04</v>
      </c>
      <c r="H342" s="4">
        <v>1</v>
      </c>
    </row>
    <row r="343" spans="1:8" x14ac:dyDescent="0.2">
      <c r="A343" s="2" t="s">
        <v>69</v>
      </c>
      <c r="B343" s="4">
        <v>404</v>
      </c>
      <c r="C343" s="5">
        <v>3.19</v>
      </c>
      <c r="D343" s="4">
        <v>11</v>
      </c>
      <c r="E343" s="5">
        <v>0.23</v>
      </c>
      <c r="F343" s="4">
        <v>393</v>
      </c>
      <c r="G343" s="5">
        <v>4.97</v>
      </c>
      <c r="H343" s="4">
        <v>0</v>
      </c>
    </row>
    <row r="344" spans="1:8" x14ac:dyDescent="0.2">
      <c r="A344" s="2" t="s">
        <v>70</v>
      </c>
      <c r="B344" s="4">
        <v>276</v>
      </c>
      <c r="C344" s="5">
        <v>2.1800000000000002</v>
      </c>
      <c r="D344" s="4">
        <v>207</v>
      </c>
      <c r="E344" s="5">
        <v>4.37</v>
      </c>
      <c r="F344" s="4">
        <v>69</v>
      </c>
      <c r="G344" s="5">
        <v>0.87</v>
      </c>
      <c r="H344" s="4">
        <v>0</v>
      </c>
    </row>
    <row r="345" spans="1:8" x14ac:dyDescent="0.2">
      <c r="A345" s="2" t="s">
        <v>71</v>
      </c>
      <c r="B345" s="4">
        <v>2178</v>
      </c>
      <c r="C345" s="5">
        <v>17.170000000000002</v>
      </c>
      <c r="D345" s="4">
        <v>783</v>
      </c>
      <c r="E345" s="5">
        <v>16.510000000000002</v>
      </c>
      <c r="F345" s="4">
        <v>1394</v>
      </c>
      <c r="G345" s="5">
        <v>17.62</v>
      </c>
      <c r="H345" s="4">
        <v>1</v>
      </c>
    </row>
    <row r="346" spans="1:8" x14ac:dyDescent="0.2">
      <c r="A346" s="2" t="s">
        <v>72</v>
      </c>
      <c r="B346" s="4">
        <v>52</v>
      </c>
      <c r="C346" s="5">
        <v>0.41</v>
      </c>
      <c r="D346" s="4">
        <v>5</v>
      </c>
      <c r="E346" s="5">
        <v>0.11</v>
      </c>
      <c r="F346" s="4">
        <v>47</v>
      </c>
      <c r="G346" s="5">
        <v>0.59</v>
      </c>
      <c r="H346" s="4">
        <v>0</v>
      </c>
    </row>
    <row r="347" spans="1:8" x14ac:dyDescent="0.2">
      <c r="A347" s="2" t="s">
        <v>73</v>
      </c>
      <c r="B347" s="4">
        <v>1969</v>
      </c>
      <c r="C347" s="5">
        <v>15.52</v>
      </c>
      <c r="D347" s="4">
        <v>400</v>
      </c>
      <c r="E347" s="5">
        <v>8.44</v>
      </c>
      <c r="F347" s="4">
        <v>1567</v>
      </c>
      <c r="G347" s="5">
        <v>19.809999999999999</v>
      </c>
      <c r="H347" s="4">
        <v>0</v>
      </c>
    </row>
    <row r="348" spans="1:8" x14ac:dyDescent="0.2">
      <c r="A348" s="2" t="s">
        <v>74</v>
      </c>
      <c r="B348" s="4">
        <v>980</v>
      </c>
      <c r="C348" s="5">
        <v>7.73</v>
      </c>
      <c r="D348" s="4">
        <v>331</v>
      </c>
      <c r="E348" s="5">
        <v>6.98</v>
      </c>
      <c r="F348" s="4">
        <v>649</v>
      </c>
      <c r="G348" s="5">
        <v>8.1999999999999993</v>
      </c>
      <c r="H348" s="4">
        <v>0</v>
      </c>
    </row>
    <row r="349" spans="1:8" x14ac:dyDescent="0.2">
      <c r="A349" s="2" t="s">
        <v>75</v>
      </c>
      <c r="B349" s="4">
        <v>1134</v>
      </c>
      <c r="C349" s="5">
        <v>8.94</v>
      </c>
      <c r="D349" s="4">
        <v>837</v>
      </c>
      <c r="E349" s="5">
        <v>17.649999999999999</v>
      </c>
      <c r="F349" s="4">
        <v>296</v>
      </c>
      <c r="G349" s="5">
        <v>3.74</v>
      </c>
      <c r="H349" s="4">
        <v>0</v>
      </c>
    </row>
    <row r="350" spans="1:8" x14ac:dyDescent="0.2">
      <c r="A350" s="2" t="s">
        <v>76</v>
      </c>
      <c r="B350" s="4">
        <v>1327</v>
      </c>
      <c r="C350" s="5">
        <v>10.46</v>
      </c>
      <c r="D350" s="4">
        <v>876</v>
      </c>
      <c r="E350" s="5">
        <v>18.47</v>
      </c>
      <c r="F350" s="4">
        <v>450</v>
      </c>
      <c r="G350" s="5">
        <v>5.69</v>
      </c>
      <c r="H350" s="4">
        <v>0</v>
      </c>
    </row>
    <row r="351" spans="1:8" x14ac:dyDescent="0.2">
      <c r="A351" s="2" t="s">
        <v>77</v>
      </c>
      <c r="B351" s="4">
        <v>538</v>
      </c>
      <c r="C351" s="5">
        <v>4.24</v>
      </c>
      <c r="D351" s="4">
        <v>342</v>
      </c>
      <c r="E351" s="5">
        <v>7.21</v>
      </c>
      <c r="F351" s="4">
        <v>178</v>
      </c>
      <c r="G351" s="5">
        <v>2.25</v>
      </c>
      <c r="H351" s="4">
        <v>1</v>
      </c>
    </row>
    <row r="352" spans="1:8" x14ac:dyDescent="0.2">
      <c r="A352" s="2" t="s">
        <v>78</v>
      </c>
      <c r="B352" s="4">
        <v>767</v>
      </c>
      <c r="C352" s="5">
        <v>6.05</v>
      </c>
      <c r="D352" s="4">
        <v>499</v>
      </c>
      <c r="E352" s="5">
        <v>10.52</v>
      </c>
      <c r="F352" s="4">
        <v>267</v>
      </c>
      <c r="G352" s="5">
        <v>3.37</v>
      </c>
      <c r="H352" s="4">
        <v>0</v>
      </c>
    </row>
    <row r="353" spans="1:8" x14ac:dyDescent="0.2">
      <c r="A353" s="2" t="s">
        <v>79</v>
      </c>
      <c r="B353" s="4">
        <v>419</v>
      </c>
      <c r="C353" s="5">
        <v>3.3</v>
      </c>
      <c r="D353" s="4">
        <v>60</v>
      </c>
      <c r="E353" s="5">
        <v>1.27</v>
      </c>
      <c r="F353" s="4">
        <v>355</v>
      </c>
      <c r="G353" s="5">
        <v>4.49</v>
      </c>
      <c r="H353" s="4">
        <v>3</v>
      </c>
    </row>
    <row r="354" spans="1:8" x14ac:dyDescent="0.2">
      <c r="A354" s="1" t="s">
        <v>22</v>
      </c>
      <c r="B354" s="4">
        <v>14209</v>
      </c>
      <c r="C354" s="5">
        <v>99.990000000000009</v>
      </c>
      <c r="D354" s="4">
        <v>6063</v>
      </c>
      <c r="E354" s="5">
        <v>100.00000000000001</v>
      </c>
      <c r="F354" s="4">
        <v>8133</v>
      </c>
      <c r="G354" s="5">
        <v>99.990000000000009</v>
      </c>
      <c r="H354" s="4">
        <v>6</v>
      </c>
    </row>
    <row r="355" spans="1:8" x14ac:dyDescent="0.2">
      <c r="A355" s="2" t="s">
        <v>65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66</v>
      </c>
      <c r="B356" s="4">
        <v>2164</v>
      </c>
      <c r="C356" s="5">
        <v>15.23</v>
      </c>
      <c r="D356" s="4">
        <v>337</v>
      </c>
      <c r="E356" s="5">
        <v>5.56</v>
      </c>
      <c r="F356" s="4">
        <v>1826</v>
      </c>
      <c r="G356" s="5">
        <v>22.45</v>
      </c>
      <c r="H356" s="4">
        <v>1</v>
      </c>
    </row>
    <row r="357" spans="1:8" x14ac:dyDescent="0.2">
      <c r="A357" s="2" t="s">
        <v>67</v>
      </c>
      <c r="B357" s="4">
        <v>2111</v>
      </c>
      <c r="C357" s="5">
        <v>14.86</v>
      </c>
      <c r="D357" s="4">
        <v>661</v>
      </c>
      <c r="E357" s="5">
        <v>10.9</v>
      </c>
      <c r="F357" s="4">
        <v>1450</v>
      </c>
      <c r="G357" s="5">
        <v>17.829999999999998</v>
      </c>
      <c r="H357" s="4">
        <v>0</v>
      </c>
    </row>
    <row r="358" spans="1:8" x14ac:dyDescent="0.2">
      <c r="A358" s="2" t="s">
        <v>68</v>
      </c>
      <c r="B358" s="4">
        <v>2</v>
      </c>
      <c r="C358" s="5">
        <v>0.01</v>
      </c>
      <c r="D358" s="4">
        <v>0</v>
      </c>
      <c r="E358" s="5">
        <v>0</v>
      </c>
      <c r="F358" s="4">
        <v>2</v>
      </c>
      <c r="G358" s="5">
        <v>0.02</v>
      </c>
      <c r="H358" s="4">
        <v>0</v>
      </c>
    </row>
    <row r="359" spans="1:8" x14ac:dyDescent="0.2">
      <c r="A359" s="2" t="s">
        <v>69</v>
      </c>
      <c r="B359" s="4">
        <v>155</v>
      </c>
      <c r="C359" s="5">
        <v>1.0900000000000001</v>
      </c>
      <c r="D359" s="4">
        <v>7</v>
      </c>
      <c r="E359" s="5">
        <v>0.12</v>
      </c>
      <c r="F359" s="4">
        <v>148</v>
      </c>
      <c r="G359" s="5">
        <v>1.82</v>
      </c>
      <c r="H359" s="4">
        <v>0</v>
      </c>
    </row>
    <row r="360" spans="1:8" x14ac:dyDescent="0.2">
      <c r="A360" s="2" t="s">
        <v>70</v>
      </c>
      <c r="B360" s="4">
        <v>505</v>
      </c>
      <c r="C360" s="5">
        <v>3.55</v>
      </c>
      <c r="D360" s="4">
        <v>382</v>
      </c>
      <c r="E360" s="5">
        <v>6.3</v>
      </c>
      <c r="F360" s="4">
        <v>123</v>
      </c>
      <c r="G360" s="5">
        <v>1.51</v>
      </c>
      <c r="H360" s="4">
        <v>0</v>
      </c>
    </row>
    <row r="361" spans="1:8" x14ac:dyDescent="0.2">
      <c r="A361" s="2" t="s">
        <v>71</v>
      </c>
      <c r="B361" s="4">
        <v>2914</v>
      </c>
      <c r="C361" s="5">
        <v>20.51</v>
      </c>
      <c r="D361" s="4">
        <v>1138</v>
      </c>
      <c r="E361" s="5">
        <v>18.77</v>
      </c>
      <c r="F361" s="4">
        <v>1775</v>
      </c>
      <c r="G361" s="5">
        <v>21.82</v>
      </c>
      <c r="H361" s="4">
        <v>1</v>
      </c>
    </row>
    <row r="362" spans="1:8" x14ac:dyDescent="0.2">
      <c r="A362" s="2" t="s">
        <v>72</v>
      </c>
      <c r="B362" s="4">
        <v>57</v>
      </c>
      <c r="C362" s="5">
        <v>0.4</v>
      </c>
      <c r="D362" s="4">
        <v>5</v>
      </c>
      <c r="E362" s="5">
        <v>0.08</v>
      </c>
      <c r="F362" s="4">
        <v>52</v>
      </c>
      <c r="G362" s="5">
        <v>0.64</v>
      </c>
      <c r="H362" s="4">
        <v>0</v>
      </c>
    </row>
    <row r="363" spans="1:8" x14ac:dyDescent="0.2">
      <c r="A363" s="2" t="s">
        <v>73</v>
      </c>
      <c r="B363" s="4">
        <v>1645</v>
      </c>
      <c r="C363" s="5">
        <v>11.58</v>
      </c>
      <c r="D363" s="4">
        <v>531</v>
      </c>
      <c r="E363" s="5">
        <v>8.76</v>
      </c>
      <c r="F363" s="4">
        <v>1114</v>
      </c>
      <c r="G363" s="5">
        <v>13.7</v>
      </c>
      <c r="H363" s="4">
        <v>0</v>
      </c>
    </row>
    <row r="364" spans="1:8" x14ac:dyDescent="0.2">
      <c r="A364" s="2" t="s">
        <v>74</v>
      </c>
      <c r="B364" s="4">
        <v>595</v>
      </c>
      <c r="C364" s="5">
        <v>4.1900000000000004</v>
      </c>
      <c r="D364" s="4">
        <v>259</v>
      </c>
      <c r="E364" s="5">
        <v>4.2699999999999996</v>
      </c>
      <c r="F364" s="4">
        <v>335</v>
      </c>
      <c r="G364" s="5">
        <v>4.12</v>
      </c>
      <c r="H364" s="4">
        <v>0</v>
      </c>
    </row>
    <row r="365" spans="1:8" x14ac:dyDescent="0.2">
      <c r="A365" s="2" t="s">
        <v>75</v>
      </c>
      <c r="B365" s="4">
        <v>1422</v>
      </c>
      <c r="C365" s="5">
        <v>10.01</v>
      </c>
      <c r="D365" s="4">
        <v>1140</v>
      </c>
      <c r="E365" s="5">
        <v>18.8</v>
      </c>
      <c r="F365" s="4">
        <v>281</v>
      </c>
      <c r="G365" s="5">
        <v>3.46</v>
      </c>
      <c r="H365" s="4">
        <v>1</v>
      </c>
    </row>
    <row r="366" spans="1:8" x14ac:dyDescent="0.2">
      <c r="A366" s="2" t="s">
        <v>76</v>
      </c>
      <c r="B366" s="4">
        <v>1332</v>
      </c>
      <c r="C366" s="5">
        <v>9.3699999999999992</v>
      </c>
      <c r="D366" s="4">
        <v>952</v>
      </c>
      <c r="E366" s="5">
        <v>15.7</v>
      </c>
      <c r="F366" s="4">
        <v>378</v>
      </c>
      <c r="G366" s="5">
        <v>4.6500000000000004</v>
      </c>
      <c r="H366" s="4">
        <v>2</v>
      </c>
    </row>
    <row r="367" spans="1:8" x14ac:dyDescent="0.2">
      <c r="A367" s="2" t="s">
        <v>77</v>
      </c>
      <c r="B367" s="4">
        <v>282</v>
      </c>
      <c r="C367" s="5">
        <v>1.98</v>
      </c>
      <c r="D367" s="4">
        <v>193</v>
      </c>
      <c r="E367" s="5">
        <v>3.18</v>
      </c>
      <c r="F367" s="4">
        <v>88</v>
      </c>
      <c r="G367" s="5">
        <v>1.08</v>
      </c>
      <c r="H367" s="4">
        <v>0</v>
      </c>
    </row>
    <row r="368" spans="1:8" x14ac:dyDescent="0.2">
      <c r="A368" s="2" t="s">
        <v>78</v>
      </c>
      <c r="B368" s="4">
        <v>576</v>
      </c>
      <c r="C368" s="5">
        <v>4.05</v>
      </c>
      <c r="D368" s="4">
        <v>386</v>
      </c>
      <c r="E368" s="5">
        <v>6.37</v>
      </c>
      <c r="F368" s="4">
        <v>185</v>
      </c>
      <c r="G368" s="5">
        <v>2.27</v>
      </c>
      <c r="H368" s="4">
        <v>0</v>
      </c>
    </row>
    <row r="369" spans="1:8" x14ac:dyDescent="0.2">
      <c r="A369" s="2" t="s">
        <v>79</v>
      </c>
      <c r="B369" s="4">
        <v>449</v>
      </c>
      <c r="C369" s="5">
        <v>3.16</v>
      </c>
      <c r="D369" s="4">
        <v>72</v>
      </c>
      <c r="E369" s="5">
        <v>1.19</v>
      </c>
      <c r="F369" s="4">
        <v>376</v>
      </c>
      <c r="G369" s="5">
        <v>4.62</v>
      </c>
      <c r="H369" s="4">
        <v>1</v>
      </c>
    </row>
    <row r="370" spans="1:8" x14ac:dyDescent="0.2">
      <c r="A370" s="1" t="s">
        <v>23</v>
      </c>
      <c r="B370" s="4">
        <v>10094</v>
      </c>
      <c r="C370" s="5">
        <v>100.02999999999999</v>
      </c>
      <c r="D370" s="4">
        <v>4339</v>
      </c>
      <c r="E370" s="5">
        <v>99.98</v>
      </c>
      <c r="F370" s="4">
        <v>5727</v>
      </c>
      <c r="G370" s="5">
        <v>100</v>
      </c>
      <c r="H370" s="4">
        <v>7</v>
      </c>
    </row>
    <row r="371" spans="1:8" x14ac:dyDescent="0.2">
      <c r="A371" s="2" t="s">
        <v>65</v>
      </c>
      <c r="B371" s="4">
        <v>1</v>
      </c>
      <c r="C371" s="5">
        <v>0.01</v>
      </c>
      <c r="D371" s="4">
        <v>0</v>
      </c>
      <c r="E371" s="5">
        <v>0</v>
      </c>
      <c r="F371" s="4">
        <v>1</v>
      </c>
      <c r="G371" s="5">
        <v>0.02</v>
      </c>
      <c r="H371" s="4">
        <v>0</v>
      </c>
    </row>
    <row r="372" spans="1:8" x14ac:dyDescent="0.2">
      <c r="A372" s="2" t="s">
        <v>66</v>
      </c>
      <c r="B372" s="4">
        <v>1072</v>
      </c>
      <c r="C372" s="5">
        <v>10.62</v>
      </c>
      <c r="D372" s="4">
        <v>133</v>
      </c>
      <c r="E372" s="5">
        <v>3.07</v>
      </c>
      <c r="F372" s="4">
        <v>939</v>
      </c>
      <c r="G372" s="5">
        <v>16.399999999999999</v>
      </c>
      <c r="H372" s="4">
        <v>0</v>
      </c>
    </row>
    <row r="373" spans="1:8" x14ac:dyDescent="0.2">
      <c r="A373" s="2" t="s">
        <v>67</v>
      </c>
      <c r="B373" s="4">
        <v>1963</v>
      </c>
      <c r="C373" s="5">
        <v>19.45</v>
      </c>
      <c r="D373" s="4">
        <v>661</v>
      </c>
      <c r="E373" s="5">
        <v>15.23</v>
      </c>
      <c r="F373" s="4">
        <v>1302</v>
      </c>
      <c r="G373" s="5">
        <v>22.73</v>
      </c>
      <c r="H373" s="4">
        <v>0</v>
      </c>
    </row>
    <row r="374" spans="1:8" x14ac:dyDescent="0.2">
      <c r="A374" s="2" t="s">
        <v>68</v>
      </c>
      <c r="B374" s="4">
        <v>3</v>
      </c>
      <c r="C374" s="5">
        <v>0.03</v>
      </c>
      <c r="D374" s="4">
        <v>0</v>
      </c>
      <c r="E374" s="5">
        <v>0</v>
      </c>
      <c r="F374" s="4">
        <v>3</v>
      </c>
      <c r="G374" s="5">
        <v>0.05</v>
      </c>
      <c r="H374" s="4">
        <v>0</v>
      </c>
    </row>
    <row r="375" spans="1:8" x14ac:dyDescent="0.2">
      <c r="A375" s="2" t="s">
        <v>69</v>
      </c>
      <c r="B375" s="4">
        <v>107</v>
      </c>
      <c r="C375" s="5">
        <v>1.06</v>
      </c>
      <c r="D375" s="4">
        <v>1</v>
      </c>
      <c r="E375" s="5">
        <v>0.02</v>
      </c>
      <c r="F375" s="4">
        <v>106</v>
      </c>
      <c r="G375" s="5">
        <v>1.85</v>
      </c>
      <c r="H375" s="4">
        <v>0</v>
      </c>
    </row>
    <row r="376" spans="1:8" x14ac:dyDescent="0.2">
      <c r="A376" s="2" t="s">
        <v>70</v>
      </c>
      <c r="B376" s="4">
        <v>155</v>
      </c>
      <c r="C376" s="5">
        <v>1.54</v>
      </c>
      <c r="D376" s="4">
        <v>94</v>
      </c>
      <c r="E376" s="5">
        <v>2.17</v>
      </c>
      <c r="F376" s="4">
        <v>61</v>
      </c>
      <c r="G376" s="5">
        <v>1.07</v>
      </c>
      <c r="H376" s="4">
        <v>0</v>
      </c>
    </row>
    <row r="377" spans="1:8" x14ac:dyDescent="0.2">
      <c r="A377" s="2" t="s">
        <v>71</v>
      </c>
      <c r="B377" s="4">
        <v>1974</v>
      </c>
      <c r="C377" s="5">
        <v>19.559999999999999</v>
      </c>
      <c r="D377" s="4">
        <v>729</v>
      </c>
      <c r="E377" s="5">
        <v>16.8</v>
      </c>
      <c r="F377" s="4">
        <v>1244</v>
      </c>
      <c r="G377" s="5">
        <v>21.72</v>
      </c>
      <c r="H377" s="4">
        <v>1</v>
      </c>
    </row>
    <row r="378" spans="1:8" x14ac:dyDescent="0.2">
      <c r="A378" s="2" t="s">
        <v>72</v>
      </c>
      <c r="B378" s="4">
        <v>37</v>
      </c>
      <c r="C378" s="5">
        <v>0.37</v>
      </c>
      <c r="D378" s="4">
        <v>4</v>
      </c>
      <c r="E378" s="5">
        <v>0.09</v>
      </c>
      <c r="F378" s="4">
        <v>33</v>
      </c>
      <c r="G378" s="5">
        <v>0.57999999999999996</v>
      </c>
      <c r="H378" s="4">
        <v>0</v>
      </c>
    </row>
    <row r="379" spans="1:8" x14ac:dyDescent="0.2">
      <c r="A379" s="2" t="s">
        <v>73</v>
      </c>
      <c r="B379" s="4">
        <v>1324</v>
      </c>
      <c r="C379" s="5">
        <v>13.12</v>
      </c>
      <c r="D379" s="4">
        <v>499</v>
      </c>
      <c r="E379" s="5">
        <v>11.5</v>
      </c>
      <c r="F379" s="4">
        <v>823</v>
      </c>
      <c r="G379" s="5">
        <v>14.37</v>
      </c>
      <c r="H379" s="4">
        <v>2</v>
      </c>
    </row>
    <row r="380" spans="1:8" x14ac:dyDescent="0.2">
      <c r="A380" s="2" t="s">
        <v>74</v>
      </c>
      <c r="B380" s="4">
        <v>421</v>
      </c>
      <c r="C380" s="5">
        <v>4.17</v>
      </c>
      <c r="D380" s="4">
        <v>159</v>
      </c>
      <c r="E380" s="5">
        <v>3.66</v>
      </c>
      <c r="F380" s="4">
        <v>260</v>
      </c>
      <c r="G380" s="5">
        <v>4.54</v>
      </c>
      <c r="H380" s="4">
        <v>0</v>
      </c>
    </row>
    <row r="381" spans="1:8" x14ac:dyDescent="0.2">
      <c r="A381" s="2" t="s">
        <v>75</v>
      </c>
      <c r="B381" s="4">
        <v>1124</v>
      </c>
      <c r="C381" s="5">
        <v>11.14</v>
      </c>
      <c r="D381" s="4">
        <v>897</v>
      </c>
      <c r="E381" s="5">
        <v>20.67</v>
      </c>
      <c r="F381" s="4">
        <v>227</v>
      </c>
      <c r="G381" s="5">
        <v>3.96</v>
      </c>
      <c r="H381" s="4">
        <v>0</v>
      </c>
    </row>
    <row r="382" spans="1:8" x14ac:dyDescent="0.2">
      <c r="A382" s="2" t="s">
        <v>76</v>
      </c>
      <c r="B382" s="4">
        <v>986</v>
      </c>
      <c r="C382" s="5">
        <v>9.77</v>
      </c>
      <c r="D382" s="4">
        <v>707</v>
      </c>
      <c r="E382" s="5">
        <v>16.29</v>
      </c>
      <c r="F382" s="4">
        <v>277</v>
      </c>
      <c r="G382" s="5">
        <v>4.84</v>
      </c>
      <c r="H382" s="4">
        <v>1</v>
      </c>
    </row>
    <row r="383" spans="1:8" x14ac:dyDescent="0.2">
      <c r="A383" s="2" t="s">
        <v>77</v>
      </c>
      <c r="B383" s="4">
        <v>220</v>
      </c>
      <c r="C383" s="5">
        <v>2.1800000000000002</v>
      </c>
      <c r="D383" s="4">
        <v>138</v>
      </c>
      <c r="E383" s="5">
        <v>3.18</v>
      </c>
      <c r="F383" s="4">
        <v>81</v>
      </c>
      <c r="G383" s="5">
        <v>1.41</v>
      </c>
      <c r="H383" s="4">
        <v>1</v>
      </c>
    </row>
    <row r="384" spans="1:8" x14ac:dyDescent="0.2">
      <c r="A384" s="2" t="s">
        <v>78</v>
      </c>
      <c r="B384" s="4">
        <v>472</v>
      </c>
      <c r="C384" s="5">
        <v>4.68</v>
      </c>
      <c r="D384" s="4">
        <v>270</v>
      </c>
      <c r="E384" s="5">
        <v>6.22</v>
      </c>
      <c r="F384" s="4">
        <v>184</v>
      </c>
      <c r="G384" s="5">
        <v>3.21</v>
      </c>
      <c r="H384" s="4">
        <v>0</v>
      </c>
    </row>
    <row r="385" spans="1:8" x14ac:dyDescent="0.2">
      <c r="A385" s="2" t="s">
        <v>79</v>
      </c>
      <c r="B385" s="4">
        <v>235</v>
      </c>
      <c r="C385" s="5">
        <v>2.33</v>
      </c>
      <c r="D385" s="4">
        <v>47</v>
      </c>
      <c r="E385" s="5">
        <v>1.08</v>
      </c>
      <c r="F385" s="4">
        <v>186</v>
      </c>
      <c r="G385" s="5">
        <v>3.25</v>
      </c>
      <c r="H385" s="4">
        <v>2</v>
      </c>
    </row>
    <row r="386" spans="1:8" x14ac:dyDescent="0.2">
      <c r="A386" s="1" t="s">
        <v>24</v>
      </c>
      <c r="B386" s="4">
        <v>12020</v>
      </c>
      <c r="C386" s="5">
        <v>99.990000000000009</v>
      </c>
      <c r="D386" s="4">
        <v>4240</v>
      </c>
      <c r="E386" s="5">
        <v>100.00999999999999</v>
      </c>
      <c r="F386" s="4">
        <v>7772</v>
      </c>
      <c r="G386" s="5">
        <v>100</v>
      </c>
      <c r="H386" s="4">
        <v>0</v>
      </c>
    </row>
    <row r="387" spans="1:8" x14ac:dyDescent="0.2">
      <c r="A387" s="2" t="s">
        <v>65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66</v>
      </c>
      <c r="B388" s="4">
        <v>1789</v>
      </c>
      <c r="C388" s="5">
        <v>14.88</v>
      </c>
      <c r="D388" s="4">
        <v>180</v>
      </c>
      <c r="E388" s="5">
        <v>4.25</v>
      </c>
      <c r="F388" s="4">
        <v>1609</v>
      </c>
      <c r="G388" s="5">
        <v>20.7</v>
      </c>
      <c r="H388" s="4">
        <v>0</v>
      </c>
    </row>
    <row r="389" spans="1:8" x14ac:dyDescent="0.2">
      <c r="A389" s="2" t="s">
        <v>67</v>
      </c>
      <c r="B389" s="4">
        <v>1804</v>
      </c>
      <c r="C389" s="5">
        <v>15.01</v>
      </c>
      <c r="D389" s="4">
        <v>463</v>
      </c>
      <c r="E389" s="5">
        <v>10.92</v>
      </c>
      <c r="F389" s="4">
        <v>1341</v>
      </c>
      <c r="G389" s="5">
        <v>17.25</v>
      </c>
      <c r="H389" s="4">
        <v>0</v>
      </c>
    </row>
    <row r="390" spans="1:8" x14ac:dyDescent="0.2">
      <c r="A390" s="2" t="s">
        <v>68</v>
      </c>
      <c r="B390" s="4">
        <v>6</v>
      </c>
      <c r="C390" s="5">
        <v>0.05</v>
      </c>
      <c r="D390" s="4">
        <v>0</v>
      </c>
      <c r="E390" s="5">
        <v>0</v>
      </c>
      <c r="F390" s="4">
        <v>6</v>
      </c>
      <c r="G390" s="5">
        <v>0.08</v>
      </c>
      <c r="H390" s="4">
        <v>0</v>
      </c>
    </row>
    <row r="391" spans="1:8" x14ac:dyDescent="0.2">
      <c r="A391" s="2" t="s">
        <v>69</v>
      </c>
      <c r="B391" s="4">
        <v>166</v>
      </c>
      <c r="C391" s="5">
        <v>1.38</v>
      </c>
      <c r="D391" s="4">
        <v>1</v>
      </c>
      <c r="E391" s="5">
        <v>0.02</v>
      </c>
      <c r="F391" s="4">
        <v>165</v>
      </c>
      <c r="G391" s="5">
        <v>2.12</v>
      </c>
      <c r="H391" s="4">
        <v>0</v>
      </c>
    </row>
    <row r="392" spans="1:8" x14ac:dyDescent="0.2">
      <c r="A392" s="2" t="s">
        <v>70</v>
      </c>
      <c r="B392" s="4">
        <v>387</v>
      </c>
      <c r="C392" s="5">
        <v>3.22</v>
      </c>
      <c r="D392" s="4">
        <v>231</v>
      </c>
      <c r="E392" s="5">
        <v>5.45</v>
      </c>
      <c r="F392" s="4">
        <v>156</v>
      </c>
      <c r="G392" s="5">
        <v>2.0099999999999998</v>
      </c>
      <c r="H392" s="4">
        <v>0</v>
      </c>
    </row>
    <row r="393" spans="1:8" x14ac:dyDescent="0.2">
      <c r="A393" s="2" t="s">
        <v>71</v>
      </c>
      <c r="B393" s="4">
        <v>2319</v>
      </c>
      <c r="C393" s="5">
        <v>19.29</v>
      </c>
      <c r="D393" s="4">
        <v>743</v>
      </c>
      <c r="E393" s="5">
        <v>17.52</v>
      </c>
      <c r="F393" s="4">
        <v>1576</v>
      </c>
      <c r="G393" s="5">
        <v>20.28</v>
      </c>
      <c r="H393" s="4">
        <v>0</v>
      </c>
    </row>
    <row r="394" spans="1:8" x14ac:dyDescent="0.2">
      <c r="A394" s="2" t="s">
        <v>72</v>
      </c>
      <c r="B394" s="4">
        <v>55</v>
      </c>
      <c r="C394" s="5">
        <v>0.46</v>
      </c>
      <c r="D394" s="4">
        <v>2</v>
      </c>
      <c r="E394" s="5">
        <v>0.05</v>
      </c>
      <c r="F394" s="4">
        <v>53</v>
      </c>
      <c r="G394" s="5">
        <v>0.68</v>
      </c>
      <c r="H394" s="4">
        <v>0</v>
      </c>
    </row>
    <row r="395" spans="1:8" x14ac:dyDescent="0.2">
      <c r="A395" s="2" t="s">
        <v>73</v>
      </c>
      <c r="B395" s="4">
        <v>1581</v>
      </c>
      <c r="C395" s="5">
        <v>13.15</v>
      </c>
      <c r="D395" s="4">
        <v>302</v>
      </c>
      <c r="E395" s="5">
        <v>7.12</v>
      </c>
      <c r="F395" s="4">
        <v>1279</v>
      </c>
      <c r="G395" s="5">
        <v>16.46</v>
      </c>
      <c r="H395" s="4">
        <v>0</v>
      </c>
    </row>
    <row r="396" spans="1:8" x14ac:dyDescent="0.2">
      <c r="A396" s="2" t="s">
        <v>74</v>
      </c>
      <c r="B396" s="4">
        <v>499</v>
      </c>
      <c r="C396" s="5">
        <v>4.1500000000000004</v>
      </c>
      <c r="D396" s="4">
        <v>156</v>
      </c>
      <c r="E396" s="5">
        <v>3.68</v>
      </c>
      <c r="F396" s="4">
        <v>338</v>
      </c>
      <c r="G396" s="5">
        <v>4.3499999999999996</v>
      </c>
      <c r="H396" s="4">
        <v>0</v>
      </c>
    </row>
    <row r="397" spans="1:8" x14ac:dyDescent="0.2">
      <c r="A397" s="2" t="s">
        <v>75</v>
      </c>
      <c r="B397" s="4">
        <v>999</v>
      </c>
      <c r="C397" s="5">
        <v>8.31</v>
      </c>
      <c r="D397" s="4">
        <v>744</v>
      </c>
      <c r="E397" s="5">
        <v>17.55</v>
      </c>
      <c r="F397" s="4">
        <v>255</v>
      </c>
      <c r="G397" s="5">
        <v>3.28</v>
      </c>
      <c r="H397" s="4">
        <v>0</v>
      </c>
    </row>
    <row r="398" spans="1:8" x14ac:dyDescent="0.2">
      <c r="A398" s="2" t="s">
        <v>76</v>
      </c>
      <c r="B398" s="4">
        <v>1199</v>
      </c>
      <c r="C398" s="5">
        <v>9.98</v>
      </c>
      <c r="D398" s="4">
        <v>847</v>
      </c>
      <c r="E398" s="5">
        <v>19.98</v>
      </c>
      <c r="F398" s="4">
        <v>350</v>
      </c>
      <c r="G398" s="5">
        <v>4.5</v>
      </c>
      <c r="H398" s="4">
        <v>0</v>
      </c>
    </row>
    <row r="399" spans="1:8" x14ac:dyDescent="0.2">
      <c r="A399" s="2" t="s">
        <v>77</v>
      </c>
      <c r="B399" s="4">
        <v>266</v>
      </c>
      <c r="C399" s="5">
        <v>2.21</v>
      </c>
      <c r="D399" s="4">
        <v>148</v>
      </c>
      <c r="E399" s="5">
        <v>3.49</v>
      </c>
      <c r="F399" s="4">
        <v>117</v>
      </c>
      <c r="G399" s="5">
        <v>1.51</v>
      </c>
      <c r="H399" s="4">
        <v>0</v>
      </c>
    </row>
    <row r="400" spans="1:8" x14ac:dyDescent="0.2">
      <c r="A400" s="2" t="s">
        <v>78</v>
      </c>
      <c r="B400" s="4">
        <v>511</v>
      </c>
      <c r="C400" s="5">
        <v>4.25</v>
      </c>
      <c r="D400" s="4">
        <v>329</v>
      </c>
      <c r="E400" s="5">
        <v>7.76</v>
      </c>
      <c r="F400" s="4">
        <v>182</v>
      </c>
      <c r="G400" s="5">
        <v>2.34</v>
      </c>
      <c r="H400" s="4">
        <v>0</v>
      </c>
    </row>
    <row r="401" spans="1:8" x14ac:dyDescent="0.2">
      <c r="A401" s="2" t="s">
        <v>79</v>
      </c>
      <c r="B401" s="4">
        <v>439</v>
      </c>
      <c r="C401" s="5">
        <v>3.65</v>
      </c>
      <c r="D401" s="4">
        <v>94</v>
      </c>
      <c r="E401" s="5">
        <v>2.2200000000000002</v>
      </c>
      <c r="F401" s="4">
        <v>345</v>
      </c>
      <c r="G401" s="5">
        <v>4.4400000000000004</v>
      </c>
      <c r="H401" s="4">
        <v>0</v>
      </c>
    </row>
    <row r="402" spans="1:8" x14ac:dyDescent="0.2">
      <c r="A402" s="1" t="s">
        <v>25</v>
      </c>
      <c r="B402" s="4">
        <v>134</v>
      </c>
      <c r="C402" s="5">
        <v>99.999999999999986</v>
      </c>
      <c r="D402" s="4">
        <v>28</v>
      </c>
      <c r="E402" s="5">
        <v>100</v>
      </c>
      <c r="F402" s="4">
        <v>106</v>
      </c>
      <c r="G402" s="5">
        <v>100</v>
      </c>
      <c r="H402" s="4">
        <v>0</v>
      </c>
    </row>
    <row r="403" spans="1:8" x14ac:dyDescent="0.2">
      <c r="A403" s="2" t="s">
        <v>65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66</v>
      </c>
      <c r="B404" s="4">
        <v>2</v>
      </c>
      <c r="C404" s="5">
        <v>1.49</v>
      </c>
      <c r="D404" s="4">
        <v>0</v>
      </c>
      <c r="E404" s="5">
        <v>0</v>
      </c>
      <c r="F404" s="4">
        <v>2</v>
      </c>
      <c r="G404" s="5">
        <v>1.89</v>
      </c>
      <c r="H404" s="4">
        <v>0</v>
      </c>
    </row>
    <row r="405" spans="1:8" x14ac:dyDescent="0.2">
      <c r="A405" s="2" t="s">
        <v>67</v>
      </c>
      <c r="B405" s="4">
        <v>3</v>
      </c>
      <c r="C405" s="5">
        <v>2.2400000000000002</v>
      </c>
      <c r="D405" s="4">
        <v>0</v>
      </c>
      <c r="E405" s="5">
        <v>0</v>
      </c>
      <c r="F405" s="4">
        <v>3</v>
      </c>
      <c r="G405" s="5">
        <v>2.83</v>
      </c>
      <c r="H405" s="4">
        <v>0</v>
      </c>
    </row>
    <row r="406" spans="1:8" x14ac:dyDescent="0.2">
      <c r="A406" s="2" t="s">
        <v>68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69</v>
      </c>
      <c r="B407" s="4">
        <v>3</v>
      </c>
      <c r="C407" s="5">
        <v>2.2400000000000002</v>
      </c>
      <c r="D407" s="4">
        <v>0</v>
      </c>
      <c r="E407" s="5">
        <v>0</v>
      </c>
      <c r="F407" s="4">
        <v>3</v>
      </c>
      <c r="G407" s="5">
        <v>2.83</v>
      </c>
      <c r="H407" s="4">
        <v>0</v>
      </c>
    </row>
    <row r="408" spans="1:8" x14ac:dyDescent="0.2">
      <c r="A408" s="2" t="s">
        <v>70</v>
      </c>
      <c r="B408" s="4">
        <v>1</v>
      </c>
      <c r="C408" s="5">
        <v>0.75</v>
      </c>
      <c r="D408" s="4">
        <v>0</v>
      </c>
      <c r="E408" s="5">
        <v>0</v>
      </c>
      <c r="F408" s="4">
        <v>1</v>
      </c>
      <c r="G408" s="5">
        <v>0.94</v>
      </c>
      <c r="H408" s="4">
        <v>0</v>
      </c>
    </row>
    <row r="409" spans="1:8" x14ac:dyDescent="0.2">
      <c r="A409" s="2" t="s">
        <v>71</v>
      </c>
      <c r="B409" s="4">
        <v>64</v>
      </c>
      <c r="C409" s="5">
        <v>47.76</v>
      </c>
      <c r="D409" s="4">
        <v>14</v>
      </c>
      <c r="E409" s="5">
        <v>50</v>
      </c>
      <c r="F409" s="4">
        <v>50</v>
      </c>
      <c r="G409" s="5">
        <v>47.17</v>
      </c>
      <c r="H409" s="4">
        <v>0</v>
      </c>
    </row>
    <row r="410" spans="1:8" x14ac:dyDescent="0.2">
      <c r="A410" s="2" t="s">
        <v>72</v>
      </c>
      <c r="B410" s="4">
        <v>2</v>
      </c>
      <c r="C410" s="5">
        <v>1.49</v>
      </c>
      <c r="D410" s="4">
        <v>0</v>
      </c>
      <c r="E410" s="5">
        <v>0</v>
      </c>
      <c r="F410" s="4">
        <v>2</v>
      </c>
      <c r="G410" s="5">
        <v>1.89</v>
      </c>
      <c r="H410" s="4">
        <v>0</v>
      </c>
    </row>
    <row r="411" spans="1:8" x14ac:dyDescent="0.2">
      <c r="A411" s="2" t="s">
        <v>73</v>
      </c>
      <c r="B411" s="4">
        <v>5</v>
      </c>
      <c r="C411" s="5">
        <v>3.73</v>
      </c>
      <c r="D411" s="4">
        <v>0</v>
      </c>
      <c r="E411" s="5">
        <v>0</v>
      </c>
      <c r="F411" s="4">
        <v>5</v>
      </c>
      <c r="G411" s="5">
        <v>4.72</v>
      </c>
      <c r="H411" s="4">
        <v>0</v>
      </c>
    </row>
    <row r="412" spans="1:8" x14ac:dyDescent="0.2">
      <c r="A412" s="2" t="s">
        <v>74</v>
      </c>
      <c r="B412" s="4">
        <v>3</v>
      </c>
      <c r="C412" s="5">
        <v>2.2400000000000002</v>
      </c>
      <c r="D412" s="4">
        <v>0</v>
      </c>
      <c r="E412" s="5">
        <v>0</v>
      </c>
      <c r="F412" s="4">
        <v>3</v>
      </c>
      <c r="G412" s="5">
        <v>2.83</v>
      </c>
      <c r="H412" s="4">
        <v>0</v>
      </c>
    </row>
    <row r="413" spans="1:8" x14ac:dyDescent="0.2">
      <c r="A413" s="2" t="s">
        <v>75</v>
      </c>
      <c r="B413" s="4">
        <v>31</v>
      </c>
      <c r="C413" s="5">
        <v>23.13</v>
      </c>
      <c r="D413" s="4">
        <v>12</v>
      </c>
      <c r="E413" s="5">
        <v>42.86</v>
      </c>
      <c r="F413" s="4">
        <v>19</v>
      </c>
      <c r="G413" s="5">
        <v>17.920000000000002</v>
      </c>
      <c r="H413" s="4">
        <v>0</v>
      </c>
    </row>
    <row r="414" spans="1:8" x14ac:dyDescent="0.2">
      <c r="A414" s="2" t="s">
        <v>76</v>
      </c>
      <c r="B414" s="4">
        <v>13</v>
      </c>
      <c r="C414" s="5">
        <v>9.6999999999999993</v>
      </c>
      <c r="D414" s="4">
        <v>2</v>
      </c>
      <c r="E414" s="5">
        <v>7.14</v>
      </c>
      <c r="F414" s="4">
        <v>11</v>
      </c>
      <c r="G414" s="5">
        <v>10.38</v>
      </c>
      <c r="H414" s="4">
        <v>0</v>
      </c>
    </row>
    <row r="415" spans="1:8" x14ac:dyDescent="0.2">
      <c r="A415" s="2" t="s">
        <v>77</v>
      </c>
      <c r="B415" s="4">
        <v>2</v>
      </c>
      <c r="C415" s="5">
        <v>1.49</v>
      </c>
      <c r="D415" s="4">
        <v>0</v>
      </c>
      <c r="E415" s="5">
        <v>0</v>
      </c>
      <c r="F415" s="4">
        <v>2</v>
      </c>
      <c r="G415" s="5">
        <v>1.89</v>
      </c>
      <c r="H415" s="4">
        <v>0</v>
      </c>
    </row>
    <row r="416" spans="1:8" x14ac:dyDescent="0.2">
      <c r="A416" s="2" t="s">
        <v>78</v>
      </c>
      <c r="B416" s="4">
        <v>1</v>
      </c>
      <c r="C416" s="5">
        <v>0.75</v>
      </c>
      <c r="D416" s="4">
        <v>0</v>
      </c>
      <c r="E416" s="5">
        <v>0</v>
      </c>
      <c r="F416" s="4">
        <v>1</v>
      </c>
      <c r="G416" s="5">
        <v>0.94</v>
      </c>
      <c r="H416" s="4">
        <v>0</v>
      </c>
    </row>
    <row r="417" spans="1:8" x14ac:dyDescent="0.2">
      <c r="A417" s="2" t="s">
        <v>79</v>
      </c>
      <c r="B417" s="4">
        <v>4</v>
      </c>
      <c r="C417" s="5">
        <v>2.99</v>
      </c>
      <c r="D417" s="4">
        <v>0</v>
      </c>
      <c r="E417" s="5">
        <v>0</v>
      </c>
      <c r="F417" s="4">
        <v>4</v>
      </c>
      <c r="G417" s="5">
        <v>3.77</v>
      </c>
      <c r="H417" s="4">
        <v>0</v>
      </c>
    </row>
    <row r="418" spans="1:8" x14ac:dyDescent="0.2">
      <c r="A418" s="1" t="s">
        <v>26</v>
      </c>
      <c r="B418" s="4">
        <v>9712</v>
      </c>
      <c r="C418" s="5">
        <v>99.99</v>
      </c>
      <c r="D418" s="4">
        <v>3798</v>
      </c>
      <c r="E418" s="5">
        <v>100.01</v>
      </c>
      <c r="F418" s="4">
        <v>5879</v>
      </c>
      <c r="G418" s="5">
        <v>100.00999999999999</v>
      </c>
      <c r="H418" s="4">
        <v>16</v>
      </c>
    </row>
    <row r="419" spans="1:8" x14ac:dyDescent="0.2">
      <c r="A419" s="2" t="s">
        <v>65</v>
      </c>
      <c r="B419" s="4">
        <v>1</v>
      </c>
      <c r="C419" s="5">
        <v>0.01</v>
      </c>
      <c r="D419" s="4">
        <v>0</v>
      </c>
      <c r="E419" s="5">
        <v>0</v>
      </c>
      <c r="F419" s="4">
        <v>1</v>
      </c>
      <c r="G419" s="5">
        <v>0.02</v>
      </c>
      <c r="H419" s="4">
        <v>0</v>
      </c>
    </row>
    <row r="420" spans="1:8" x14ac:dyDescent="0.2">
      <c r="A420" s="2" t="s">
        <v>66</v>
      </c>
      <c r="B420" s="4">
        <v>1464</v>
      </c>
      <c r="C420" s="5">
        <v>15.07</v>
      </c>
      <c r="D420" s="4">
        <v>286</v>
      </c>
      <c r="E420" s="5">
        <v>7.53</v>
      </c>
      <c r="F420" s="4">
        <v>1178</v>
      </c>
      <c r="G420" s="5">
        <v>20.04</v>
      </c>
      <c r="H420" s="4">
        <v>0</v>
      </c>
    </row>
    <row r="421" spans="1:8" x14ac:dyDescent="0.2">
      <c r="A421" s="2" t="s">
        <v>67</v>
      </c>
      <c r="B421" s="4">
        <v>900</v>
      </c>
      <c r="C421" s="5">
        <v>9.27</v>
      </c>
      <c r="D421" s="4">
        <v>204</v>
      </c>
      <c r="E421" s="5">
        <v>5.37</v>
      </c>
      <c r="F421" s="4">
        <v>696</v>
      </c>
      <c r="G421" s="5">
        <v>11.84</v>
      </c>
      <c r="H421" s="4">
        <v>0</v>
      </c>
    </row>
    <row r="422" spans="1:8" x14ac:dyDescent="0.2">
      <c r="A422" s="2" t="s">
        <v>68</v>
      </c>
      <c r="B422" s="4">
        <v>3</v>
      </c>
      <c r="C422" s="5">
        <v>0.03</v>
      </c>
      <c r="D422" s="4">
        <v>0</v>
      </c>
      <c r="E422" s="5">
        <v>0</v>
      </c>
      <c r="F422" s="4">
        <v>3</v>
      </c>
      <c r="G422" s="5">
        <v>0.05</v>
      </c>
      <c r="H422" s="4">
        <v>0</v>
      </c>
    </row>
    <row r="423" spans="1:8" x14ac:dyDescent="0.2">
      <c r="A423" s="2" t="s">
        <v>69</v>
      </c>
      <c r="B423" s="4">
        <v>185</v>
      </c>
      <c r="C423" s="5">
        <v>1.9</v>
      </c>
      <c r="D423" s="4">
        <v>11</v>
      </c>
      <c r="E423" s="5">
        <v>0.28999999999999998</v>
      </c>
      <c r="F423" s="4">
        <v>174</v>
      </c>
      <c r="G423" s="5">
        <v>2.96</v>
      </c>
      <c r="H423" s="4">
        <v>0</v>
      </c>
    </row>
    <row r="424" spans="1:8" x14ac:dyDescent="0.2">
      <c r="A424" s="2" t="s">
        <v>70</v>
      </c>
      <c r="B424" s="4">
        <v>108</v>
      </c>
      <c r="C424" s="5">
        <v>1.1100000000000001</v>
      </c>
      <c r="D424" s="4">
        <v>46</v>
      </c>
      <c r="E424" s="5">
        <v>1.21</v>
      </c>
      <c r="F424" s="4">
        <v>62</v>
      </c>
      <c r="G424" s="5">
        <v>1.05</v>
      </c>
      <c r="H424" s="4">
        <v>0</v>
      </c>
    </row>
    <row r="425" spans="1:8" x14ac:dyDescent="0.2">
      <c r="A425" s="2" t="s">
        <v>71</v>
      </c>
      <c r="B425" s="4">
        <v>1864</v>
      </c>
      <c r="C425" s="5">
        <v>19.190000000000001</v>
      </c>
      <c r="D425" s="4">
        <v>606</v>
      </c>
      <c r="E425" s="5">
        <v>15.96</v>
      </c>
      <c r="F425" s="4">
        <v>1256</v>
      </c>
      <c r="G425" s="5">
        <v>21.36</v>
      </c>
      <c r="H425" s="4">
        <v>2</v>
      </c>
    </row>
    <row r="426" spans="1:8" x14ac:dyDescent="0.2">
      <c r="A426" s="2" t="s">
        <v>72</v>
      </c>
      <c r="B426" s="4">
        <v>65</v>
      </c>
      <c r="C426" s="5">
        <v>0.67</v>
      </c>
      <c r="D426" s="4">
        <v>8</v>
      </c>
      <c r="E426" s="5">
        <v>0.21</v>
      </c>
      <c r="F426" s="4">
        <v>57</v>
      </c>
      <c r="G426" s="5">
        <v>0.97</v>
      </c>
      <c r="H426" s="4">
        <v>0</v>
      </c>
    </row>
    <row r="427" spans="1:8" x14ac:dyDescent="0.2">
      <c r="A427" s="2" t="s">
        <v>73</v>
      </c>
      <c r="B427" s="4">
        <v>1183</v>
      </c>
      <c r="C427" s="5">
        <v>12.18</v>
      </c>
      <c r="D427" s="4">
        <v>298</v>
      </c>
      <c r="E427" s="5">
        <v>7.85</v>
      </c>
      <c r="F427" s="4">
        <v>883</v>
      </c>
      <c r="G427" s="5">
        <v>15.02</v>
      </c>
      <c r="H427" s="4">
        <v>2</v>
      </c>
    </row>
    <row r="428" spans="1:8" x14ac:dyDescent="0.2">
      <c r="A428" s="2" t="s">
        <v>74</v>
      </c>
      <c r="B428" s="4">
        <v>623</v>
      </c>
      <c r="C428" s="5">
        <v>6.41</v>
      </c>
      <c r="D428" s="4">
        <v>232</v>
      </c>
      <c r="E428" s="5">
        <v>6.11</v>
      </c>
      <c r="F428" s="4">
        <v>389</v>
      </c>
      <c r="G428" s="5">
        <v>6.62</v>
      </c>
      <c r="H428" s="4">
        <v>1</v>
      </c>
    </row>
    <row r="429" spans="1:8" x14ac:dyDescent="0.2">
      <c r="A429" s="2" t="s">
        <v>75</v>
      </c>
      <c r="B429" s="4">
        <v>975</v>
      </c>
      <c r="C429" s="5">
        <v>10.039999999999999</v>
      </c>
      <c r="D429" s="4">
        <v>714</v>
      </c>
      <c r="E429" s="5">
        <v>18.8</v>
      </c>
      <c r="F429" s="4">
        <v>259</v>
      </c>
      <c r="G429" s="5">
        <v>4.41</v>
      </c>
      <c r="H429" s="4">
        <v>0</v>
      </c>
    </row>
    <row r="430" spans="1:8" x14ac:dyDescent="0.2">
      <c r="A430" s="2" t="s">
        <v>76</v>
      </c>
      <c r="B430" s="4">
        <v>1067</v>
      </c>
      <c r="C430" s="5">
        <v>10.99</v>
      </c>
      <c r="D430" s="4">
        <v>733</v>
      </c>
      <c r="E430" s="5">
        <v>19.3</v>
      </c>
      <c r="F430" s="4">
        <v>324</v>
      </c>
      <c r="G430" s="5">
        <v>5.51</v>
      </c>
      <c r="H430" s="4">
        <v>6</v>
      </c>
    </row>
    <row r="431" spans="1:8" x14ac:dyDescent="0.2">
      <c r="A431" s="2" t="s">
        <v>77</v>
      </c>
      <c r="B431" s="4">
        <v>375</v>
      </c>
      <c r="C431" s="5">
        <v>3.86</v>
      </c>
      <c r="D431" s="4">
        <v>251</v>
      </c>
      <c r="E431" s="5">
        <v>6.61</v>
      </c>
      <c r="F431" s="4">
        <v>118</v>
      </c>
      <c r="G431" s="5">
        <v>2.0099999999999998</v>
      </c>
      <c r="H431" s="4">
        <v>1</v>
      </c>
    </row>
    <row r="432" spans="1:8" x14ac:dyDescent="0.2">
      <c r="A432" s="2" t="s">
        <v>78</v>
      </c>
      <c r="B432" s="4">
        <v>523</v>
      </c>
      <c r="C432" s="5">
        <v>5.39</v>
      </c>
      <c r="D432" s="4">
        <v>299</v>
      </c>
      <c r="E432" s="5">
        <v>7.87</v>
      </c>
      <c r="F432" s="4">
        <v>217</v>
      </c>
      <c r="G432" s="5">
        <v>3.69</v>
      </c>
      <c r="H432" s="4">
        <v>2</v>
      </c>
    </row>
    <row r="433" spans="1:8" x14ac:dyDescent="0.2">
      <c r="A433" s="2" t="s">
        <v>79</v>
      </c>
      <c r="B433" s="4">
        <v>376</v>
      </c>
      <c r="C433" s="5">
        <v>3.87</v>
      </c>
      <c r="D433" s="4">
        <v>110</v>
      </c>
      <c r="E433" s="5">
        <v>2.9</v>
      </c>
      <c r="F433" s="4">
        <v>262</v>
      </c>
      <c r="G433" s="5">
        <v>4.46</v>
      </c>
      <c r="H433" s="4">
        <v>2</v>
      </c>
    </row>
    <row r="434" spans="1:8" x14ac:dyDescent="0.2">
      <c r="A434" s="1" t="s">
        <v>27</v>
      </c>
      <c r="B434" s="4">
        <v>3677</v>
      </c>
      <c r="C434" s="5">
        <v>100.01999999999998</v>
      </c>
      <c r="D434" s="4">
        <v>1255</v>
      </c>
      <c r="E434" s="5">
        <v>100</v>
      </c>
      <c r="F434" s="4">
        <v>2401</v>
      </c>
      <c r="G434" s="5">
        <v>99.999999999999986</v>
      </c>
      <c r="H434" s="4">
        <v>9</v>
      </c>
    </row>
    <row r="435" spans="1:8" x14ac:dyDescent="0.2">
      <c r="A435" s="2" t="s">
        <v>65</v>
      </c>
      <c r="B435" s="4">
        <v>1</v>
      </c>
      <c r="C435" s="5">
        <v>0.03</v>
      </c>
      <c r="D435" s="4">
        <v>0</v>
      </c>
      <c r="E435" s="5">
        <v>0</v>
      </c>
      <c r="F435" s="4">
        <v>1</v>
      </c>
      <c r="G435" s="5">
        <v>0.04</v>
      </c>
      <c r="H435" s="4">
        <v>0</v>
      </c>
    </row>
    <row r="436" spans="1:8" x14ac:dyDescent="0.2">
      <c r="A436" s="2" t="s">
        <v>66</v>
      </c>
      <c r="B436" s="4">
        <v>465</v>
      </c>
      <c r="C436" s="5">
        <v>12.65</v>
      </c>
      <c r="D436" s="4">
        <v>57</v>
      </c>
      <c r="E436" s="5">
        <v>4.54</v>
      </c>
      <c r="F436" s="4">
        <v>408</v>
      </c>
      <c r="G436" s="5">
        <v>16.989999999999998</v>
      </c>
      <c r="H436" s="4">
        <v>0</v>
      </c>
    </row>
    <row r="437" spans="1:8" x14ac:dyDescent="0.2">
      <c r="A437" s="2" t="s">
        <v>67</v>
      </c>
      <c r="B437" s="4">
        <v>165</v>
      </c>
      <c r="C437" s="5">
        <v>4.49</v>
      </c>
      <c r="D437" s="4">
        <v>34</v>
      </c>
      <c r="E437" s="5">
        <v>2.71</v>
      </c>
      <c r="F437" s="4">
        <v>131</v>
      </c>
      <c r="G437" s="5">
        <v>5.46</v>
      </c>
      <c r="H437" s="4">
        <v>0</v>
      </c>
    </row>
    <row r="438" spans="1:8" x14ac:dyDescent="0.2">
      <c r="A438" s="2" t="s">
        <v>68</v>
      </c>
      <c r="B438" s="4">
        <v>3</v>
      </c>
      <c r="C438" s="5">
        <v>0.08</v>
      </c>
      <c r="D438" s="4">
        <v>0</v>
      </c>
      <c r="E438" s="5">
        <v>0</v>
      </c>
      <c r="F438" s="4">
        <v>3</v>
      </c>
      <c r="G438" s="5">
        <v>0.12</v>
      </c>
      <c r="H438" s="4">
        <v>0</v>
      </c>
    </row>
    <row r="439" spans="1:8" x14ac:dyDescent="0.2">
      <c r="A439" s="2" t="s">
        <v>69</v>
      </c>
      <c r="B439" s="4">
        <v>98</v>
      </c>
      <c r="C439" s="5">
        <v>2.67</v>
      </c>
      <c r="D439" s="4">
        <v>2</v>
      </c>
      <c r="E439" s="5">
        <v>0.16</v>
      </c>
      <c r="F439" s="4">
        <v>96</v>
      </c>
      <c r="G439" s="5">
        <v>4</v>
      </c>
      <c r="H439" s="4">
        <v>0</v>
      </c>
    </row>
    <row r="440" spans="1:8" x14ac:dyDescent="0.2">
      <c r="A440" s="2" t="s">
        <v>70</v>
      </c>
      <c r="B440" s="4">
        <v>33</v>
      </c>
      <c r="C440" s="5">
        <v>0.9</v>
      </c>
      <c r="D440" s="4">
        <v>6</v>
      </c>
      <c r="E440" s="5">
        <v>0.48</v>
      </c>
      <c r="F440" s="4">
        <v>27</v>
      </c>
      <c r="G440" s="5">
        <v>1.1200000000000001</v>
      </c>
      <c r="H440" s="4">
        <v>0</v>
      </c>
    </row>
    <row r="441" spans="1:8" x14ac:dyDescent="0.2">
      <c r="A441" s="2" t="s">
        <v>71</v>
      </c>
      <c r="B441" s="4">
        <v>784</v>
      </c>
      <c r="C441" s="5">
        <v>21.32</v>
      </c>
      <c r="D441" s="4">
        <v>193</v>
      </c>
      <c r="E441" s="5">
        <v>15.38</v>
      </c>
      <c r="F441" s="4">
        <v>591</v>
      </c>
      <c r="G441" s="5">
        <v>24.61</v>
      </c>
      <c r="H441" s="4">
        <v>0</v>
      </c>
    </row>
    <row r="442" spans="1:8" x14ac:dyDescent="0.2">
      <c r="A442" s="2" t="s">
        <v>72</v>
      </c>
      <c r="B442" s="4">
        <v>36</v>
      </c>
      <c r="C442" s="5">
        <v>0.98</v>
      </c>
      <c r="D442" s="4">
        <v>2</v>
      </c>
      <c r="E442" s="5">
        <v>0.16</v>
      </c>
      <c r="F442" s="4">
        <v>34</v>
      </c>
      <c r="G442" s="5">
        <v>1.42</v>
      </c>
      <c r="H442" s="4">
        <v>0</v>
      </c>
    </row>
    <row r="443" spans="1:8" x14ac:dyDescent="0.2">
      <c r="A443" s="2" t="s">
        <v>73</v>
      </c>
      <c r="B443" s="4">
        <v>501</v>
      </c>
      <c r="C443" s="5">
        <v>13.63</v>
      </c>
      <c r="D443" s="4">
        <v>82</v>
      </c>
      <c r="E443" s="5">
        <v>6.53</v>
      </c>
      <c r="F443" s="4">
        <v>418</v>
      </c>
      <c r="G443" s="5">
        <v>17.41</v>
      </c>
      <c r="H443" s="4">
        <v>0</v>
      </c>
    </row>
    <row r="444" spans="1:8" x14ac:dyDescent="0.2">
      <c r="A444" s="2" t="s">
        <v>74</v>
      </c>
      <c r="B444" s="4">
        <v>312</v>
      </c>
      <c r="C444" s="5">
        <v>8.49</v>
      </c>
      <c r="D444" s="4">
        <v>153</v>
      </c>
      <c r="E444" s="5">
        <v>12.19</v>
      </c>
      <c r="F444" s="4">
        <v>158</v>
      </c>
      <c r="G444" s="5">
        <v>6.58</v>
      </c>
      <c r="H444" s="4">
        <v>1</v>
      </c>
    </row>
    <row r="445" spans="1:8" x14ac:dyDescent="0.2">
      <c r="A445" s="2" t="s">
        <v>75</v>
      </c>
      <c r="B445" s="4">
        <v>404</v>
      </c>
      <c r="C445" s="5">
        <v>10.99</v>
      </c>
      <c r="D445" s="4">
        <v>276</v>
      </c>
      <c r="E445" s="5">
        <v>21.99</v>
      </c>
      <c r="F445" s="4">
        <v>128</v>
      </c>
      <c r="G445" s="5">
        <v>5.33</v>
      </c>
      <c r="H445" s="4">
        <v>0</v>
      </c>
    </row>
    <row r="446" spans="1:8" x14ac:dyDescent="0.2">
      <c r="A446" s="2" t="s">
        <v>76</v>
      </c>
      <c r="B446" s="4">
        <v>373</v>
      </c>
      <c r="C446" s="5">
        <v>10.14</v>
      </c>
      <c r="D446" s="4">
        <v>235</v>
      </c>
      <c r="E446" s="5">
        <v>18.73</v>
      </c>
      <c r="F446" s="4">
        <v>137</v>
      </c>
      <c r="G446" s="5">
        <v>5.71</v>
      </c>
      <c r="H446" s="4">
        <v>1</v>
      </c>
    </row>
    <row r="447" spans="1:8" x14ac:dyDescent="0.2">
      <c r="A447" s="2" t="s">
        <v>77</v>
      </c>
      <c r="B447" s="4">
        <v>145</v>
      </c>
      <c r="C447" s="5">
        <v>3.94</v>
      </c>
      <c r="D447" s="4">
        <v>76</v>
      </c>
      <c r="E447" s="5">
        <v>6.06</v>
      </c>
      <c r="F447" s="4">
        <v>62</v>
      </c>
      <c r="G447" s="5">
        <v>2.58</v>
      </c>
      <c r="H447" s="4">
        <v>1</v>
      </c>
    </row>
    <row r="448" spans="1:8" x14ac:dyDescent="0.2">
      <c r="A448" s="2" t="s">
        <v>78</v>
      </c>
      <c r="B448" s="4">
        <v>204</v>
      </c>
      <c r="C448" s="5">
        <v>5.55</v>
      </c>
      <c r="D448" s="4">
        <v>117</v>
      </c>
      <c r="E448" s="5">
        <v>9.32</v>
      </c>
      <c r="F448" s="4">
        <v>82</v>
      </c>
      <c r="G448" s="5">
        <v>3.42</v>
      </c>
      <c r="H448" s="4">
        <v>0</v>
      </c>
    </row>
    <row r="449" spans="1:8" x14ac:dyDescent="0.2">
      <c r="A449" s="2" t="s">
        <v>79</v>
      </c>
      <c r="B449" s="4">
        <v>153</v>
      </c>
      <c r="C449" s="5">
        <v>4.16</v>
      </c>
      <c r="D449" s="4">
        <v>22</v>
      </c>
      <c r="E449" s="5">
        <v>1.75</v>
      </c>
      <c r="F449" s="4">
        <v>125</v>
      </c>
      <c r="G449" s="5">
        <v>5.21</v>
      </c>
      <c r="H449" s="4">
        <v>6</v>
      </c>
    </row>
    <row r="450" spans="1:8" x14ac:dyDescent="0.2">
      <c r="A450" s="1" t="s">
        <v>28</v>
      </c>
      <c r="B450" s="4">
        <v>4244</v>
      </c>
      <c r="C450" s="5">
        <v>100.01</v>
      </c>
      <c r="D450" s="4">
        <v>1656</v>
      </c>
      <c r="E450" s="5">
        <v>99.97999999999999</v>
      </c>
      <c r="F450" s="4">
        <v>2583</v>
      </c>
      <c r="G450" s="5">
        <v>100.01000000000002</v>
      </c>
      <c r="H450" s="4">
        <v>5</v>
      </c>
    </row>
    <row r="451" spans="1:8" x14ac:dyDescent="0.2">
      <c r="A451" s="2" t="s">
        <v>65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66</v>
      </c>
      <c r="B452" s="4">
        <v>212</v>
      </c>
      <c r="C452" s="5">
        <v>5</v>
      </c>
      <c r="D452" s="4">
        <v>31</v>
      </c>
      <c r="E452" s="5">
        <v>1.87</v>
      </c>
      <c r="F452" s="4">
        <v>181</v>
      </c>
      <c r="G452" s="5">
        <v>7.01</v>
      </c>
      <c r="H452" s="4">
        <v>0</v>
      </c>
    </row>
    <row r="453" spans="1:8" x14ac:dyDescent="0.2">
      <c r="A453" s="2" t="s">
        <v>67</v>
      </c>
      <c r="B453" s="4">
        <v>89</v>
      </c>
      <c r="C453" s="5">
        <v>2.1</v>
      </c>
      <c r="D453" s="4">
        <v>19</v>
      </c>
      <c r="E453" s="5">
        <v>1.1499999999999999</v>
      </c>
      <c r="F453" s="4">
        <v>70</v>
      </c>
      <c r="G453" s="5">
        <v>2.71</v>
      </c>
      <c r="H453" s="4">
        <v>0</v>
      </c>
    </row>
    <row r="454" spans="1:8" x14ac:dyDescent="0.2">
      <c r="A454" s="2" t="s">
        <v>68</v>
      </c>
      <c r="B454" s="4">
        <v>2</v>
      </c>
      <c r="C454" s="5">
        <v>0.05</v>
      </c>
      <c r="D454" s="4">
        <v>0</v>
      </c>
      <c r="E454" s="5">
        <v>0</v>
      </c>
      <c r="F454" s="4">
        <v>2</v>
      </c>
      <c r="G454" s="5">
        <v>0.08</v>
      </c>
      <c r="H454" s="4">
        <v>0</v>
      </c>
    </row>
    <row r="455" spans="1:8" x14ac:dyDescent="0.2">
      <c r="A455" s="2" t="s">
        <v>69</v>
      </c>
      <c r="B455" s="4">
        <v>163</v>
      </c>
      <c r="C455" s="5">
        <v>3.84</v>
      </c>
      <c r="D455" s="4">
        <v>8</v>
      </c>
      <c r="E455" s="5">
        <v>0.48</v>
      </c>
      <c r="F455" s="4">
        <v>154</v>
      </c>
      <c r="G455" s="5">
        <v>5.96</v>
      </c>
      <c r="H455" s="4">
        <v>1</v>
      </c>
    </row>
    <row r="456" spans="1:8" x14ac:dyDescent="0.2">
      <c r="A456" s="2" t="s">
        <v>70</v>
      </c>
      <c r="B456" s="4">
        <v>14</v>
      </c>
      <c r="C456" s="5">
        <v>0.33</v>
      </c>
      <c r="D456" s="4">
        <v>3</v>
      </c>
      <c r="E456" s="5">
        <v>0.18</v>
      </c>
      <c r="F456" s="4">
        <v>11</v>
      </c>
      <c r="G456" s="5">
        <v>0.43</v>
      </c>
      <c r="H456" s="4">
        <v>0</v>
      </c>
    </row>
    <row r="457" spans="1:8" x14ac:dyDescent="0.2">
      <c r="A457" s="2" t="s">
        <v>71</v>
      </c>
      <c r="B457" s="4">
        <v>898</v>
      </c>
      <c r="C457" s="5">
        <v>21.16</v>
      </c>
      <c r="D457" s="4">
        <v>270</v>
      </c>
      <c r="E457" s="5">
        <v>16.3</v>
      </c>
      <c r="F457" s="4">
        <v>628</v>
      </c>
      <c r="G457" s="5">
        <v>24.31</v>
      </c>
      <c r="H457" s="4">
        <v>0</v>
      </c>
    </row>
    <row r="458" spans="1:8" x14ac:dyDescent="0.2">
      <c r="A458" s="2" t="s">
        <v>72</v>
      </c>
      <c r="B458" s="4">
        <v>23</v>
      </c>
      <c r="C458" s="5">
        <v>0.54</v>
      </c>
      <c r="D458" s="4">
        <v>3</v>
      </c>
      <c r="E458" s="5">
        <v>0.18</v>
      </c>
      <c r="F458" s="4">
        <v>20</v>
      </c>
      <c r="G458" s="5">
        <v>0.77</v>
      </c>
      <c r="H458" s="4">
        <v>0</v>
      </c>
    </row>
    <row r="459" spans="1:8" x14ac:dyDescent="0.2">
      <c r="A459" s="2" t="s">
        <v>73</v>
      </c>
      <c r="B459" s="4">
        <v>878</v>
      </c>
      <c r="C459" s="5">
        <v>20.69</v>
      </c>
      <c r="D459" s="4">
        <v>234</v>
      </c>
      <c r="E459" s="5">
        <v>14.13</v>
      </c>
      <c r="F459" s="4">
        <v>644</v>
      </c>
      <c r="G459" s="5">
        <v>24.93</v>
      </c>
      <c r="H459" s="4">
        <v>0</v>
      </c>
    </row>
    <row r="460" spans="1:8" x14ac:dyDescent="0.2">
      <c r="A460" s="2" t="s">
        <v>74</v>
      </c>
      <c r="B460" s="4">
        <v>392</v>
      </c>
      <c r="C460" s="5">
        <v>9.24</v>
      </c>
      <c r="D460" s="4">
        <v>172</v>
      </c>
      <c r="E460" s="5">
        <v>10.39</v>
      </c>
      <c r="F460" s="4">
        <v>218</v>
      </c>
      <c r="G460" s="5">
        <v>8.44</v>
      </c>
      <c r="H460" s="4">
        <v>2</v>
      </c>
    </row>
    <row r="461" spans="1:8" x14ac:dyDescent="0.2">
      <c r="A461" s="2" t="s">
        <v>75</v>
      </c>
      <c r="B461" s="4">
        <v>526</v>
      </c>
      <c r="C461" s="5">
        <v>12.39</v>
      </c>
      <c r="D461" s="4">
        <v>336</v>
      </c>
      <c r="E461" s="5">
        <v>20.29</v>
      </c>
      <c r="F461" s="4">
        <v>189</v>
      </c>
      <c r="G461" s="5">
        <v>7.32</v>
      </c>
      <c r="H461" s="4">
        <v>1</v>
      </c>
    </row>
    <row r="462" spans="1:8" x14ac:dyDescent="0.2">
      <c r="A462" s="2" t="s">
        <v>76</v>
      </c>
      <c r="B462" s="4">
        <v>476</v>
      </c>
      <c r="C462" s="5">
        <v>11.22</v>
      </c>
      <c r="D462" s="4">
        <v>295</v>
      </c>
      <c r="E462" s="5">
        <v>17.809999999999999</v>
      </c>
      <c r="F462" s="4">
        <v>181</v>
      </c>
      <c r="G462" s="5">
        <v>7.01</v>
      </c>
      <c r="H462" s="4">
        <v>0</v>
      </c>
    </row>
    <row r="463" spans="1:8" x14ac:dyDescent="0.2">
      <c r="A463" s="2" t="s">
        <v>77</v>
      </c>
      <c r="B463" s="4">
        <v>209</v>
      </c>
      <c r="C463" s="5">
        <v>4.92</v>
      </c>
      <c r="D463" s="4">
        <v>108</v>
      </c>
      <c r="E463" s="5">
        <v>6.52</v>
      </c>
      <c r="F463" s="4">
        <v>101</v>
      </c>
      <c r="G463" s="5">
        <v>3.91</v>
      </c>
      <c r="H463" s="4">
        <v>0</v>
      </c>
    </row>
    <row r="464" spans="1:8" x14ac:dyDescent="0.2">
      <c r="A464" s="2" t="s">
        <v>78</v>
      </c>
      <c r="B464" s="4">
        <v>261</v>
      </c>
      <c r="C464" s="5">
        <v>6.15</v>
      </c>
      <c r="D464" s="4">
        <v>166</v>
      </c>
      <c r="E464" s="5">
        <v>10.02</v>
      </c>
      <c r="F464" s="4">
        <v>95</v>
      </c>
      <c r="G464" s="5">
        <v>3.68</v>
      </c>
      <c r="H464" s="4">
        <v>0</v>
      </c>
    </row>
    <row r="465" spans="1:8" x14ac:dyDescent="0.2">
      <c r="A465" s="2" t="s">
        <v>79</v>
      </c>
      <c r="B465" s="4">
        <v>101</v>
      </c>
      <c r="C465" s="5">
        <v>2.38</v>
      </c>
      <c r="D465" s="4">
        <v>11</v>
      </c>
      <c r="E465" s="5">
        <v>0.66</v>
      </c>
      <c r="F465" s="4">
        <v>89</v>
      </c>
      <c r="G465" s="5">
        <v>3.45</v>
      </c>
      <c r="H465" s="4">
        <v>1</v>
      </c>
    </row>
    <row r="466" spans="1:8" x14ac:dyDescent="0.2">
      <c r="A466" s="1" t="s">
        <v>29</v>
      </c>
      <c r="B466" s="4">
        <v>3018</v>
      </c>
      <c r="C466" s="5">
        <v>99.990000000000009</v>
      </c>
      <c r="D466" s="4">
        <v>1283</v>
      </c>
      <c r="E466" s="5">
        <v>100</v>
      </c>
      <c r="F466" s="4">
        <v>1734</v>
      </c>
      <c r="G466" s="5">
        <v>99.97999999999999</v>
      </c>
      <c r="H466" s="4">
        <v>0</v>
      </c>
    </row>
    <row r="467" spans="1:8" x14ac:dyDescent="0.2">
      <c r="A467" s="2" t="s">
        <v>65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66</v>
      </c>
      <c r="B468" s="4">
        <v>371</v>
      </c>
      <c r="C468" s="5">
        <v>12.29</v>
      </c>
      <c r="D468" s="4">
        <v>50</v>
      </c>
      <c r="E468" s="5">
        <v>3.9</v>
      </c>
      <c r="F468" s="4">
        <v>321</v>
      </c>
      <c r="G468" s="5">
        <v>18.510000000000002</v>
      </c>
      <c r="H468" s="4">
        <v>0</v>
      </c>
    </row>
    <row r="469" spans="1:8" x14ac:dyDescent="0.2">
      <c r="A469" s="2" t="s">
        <v>67</v>
      </c>
      <c r="B469" s="4">
        <v>153</v>
      </c>
      <c r="C469" s="5">
        <v>5.07</v>
      </c>
      <c r="D469" s="4">
        <v>32</v>
      </c>
      <c r="E469" s="5">
        <v>2.4900000000000002</v>
      </c>
      <c r="F469" s="4">
        <v>121</v>
      </c>
      <c r="G469" s="5">
        <v>6.98</v>
      </c>
      <c r="H469" s="4">
        <v>0</v>
      </c>
    </row>
    <row r="470" spans="1:8" x14ac:dyDescent="0.2">
      <c r="A470" s="2" t="s">
        <v>68</v>
      </c>
      <c r="B470" s="4">
        <v>1</v>
      </c>
      <c r="C470" s="5">
        <v>0.03</v>
      </c>
      <c r="D470" s="4">
        <v>0</v>
      </c>
      <c r="E470" s="5">
        <v>0</v>
      </c>
      <c r="F470" s="4">
        <v>1</v>
      </c>
      <c r="G470" s="5">
        <v>0.06</v>
      </c>
      <c r="H470" s="4">
        <v>0</v>
      </c>
    </row>
    <row r="471" spans="1:8" x14ac:dyDescent="0.2">
      <c r="A471" s="2" t="s">
        <v>69</v>
      </c>
      <c r="B471" s="4">
        <v>90</v>
      </c>
      <c r="C471" s="5">
        <v>2.98</v>
      </c>
      <c r="D471" s="4">
        <v>2</v>
      </c>
      <c r="E471" s="5">
        <v>0.16</v>
      </c>
      <c r="F471" s="4">
        <v>88</v>
      </c>
      <c r="G471" s="5">
        <v>5.07</v>
      </c>
      <c r="H471" s="4">
        <v>0</v>
      </c>
    </row>
    <row r="472" spans="1:8" x14ac:dyDescent="0.2">
      <c r="A472" s="2" t="s">
        <v>70</v>
      </c>
      <c r="B472" s="4">
        <v>46</v>
      </c>
      <c r="C472" s="5">
        <v>1.52</v>
      </c>
      <c r="D472" s="4">
        <v>35</v>
      </c>
      <c r="E472" s="5">
        <v>2.73</v>
      </c>
      <c r="F472" s="4">
        <v>11</v>
      </c>
      <c r="G472" s="5">
        <v>0.63</v>
      </c>
      <c r="H472" s="4">
        <v>0</v>
      </c>
    </row>
    <row r="473" spans="1:8" x14ac:dyDescent="0.2">
      <c r="A473" s="2" t="s">
        <v>71</v>
      </c>
      <c r="B473" s="4">
        <v>431</v>
      </c>
      <c r="C473" s="5">
        <v>14.28</v>
      </c>
      <c r="D473" s="4">
        <v>145</v>
      </c>
      <c r="E473" s="5">
        <v>11.3</v>
      </c>
      <c r="F473" s="4">
        <v>286</v>
      </c>
      <c r="G473" s="5">
        <v>16.489999999999998</v>
      </c>
      <c r="H473" s="4">
        <v>0</v>
      </c>
    </row>
    <row r="474" spans="1:8" x14ac:dyDescent="0.2">
      <c r="A474" s="2" t="s">
        <v>72</v>
      </c>
      <c r="B474" s="4">
        <v>12</v>
      </c>
      <c r="C474" s="5">
        <v>0.4</v>
      </c>
      <c r="D474" s="4">
        <v>1</v>
      </c>
      <c r="E474" s="5">
        <v>0.08</v>
      </c>
      <c r="F474" s="4">
        <v>11</v>
      </c>
      <c r="G474" s="5">
        <v>0.63</v>
      </c>
      <c r="H474" s="4">
        <v>0</v>
      </c>
    </row>
    <row r="475" spans="1:8" x14ac:dyDescent="0.2">
      <c r="A475" s="2" t="s">
        <v>73</v>
      </c>
      <c r="B475" s="4">
        <v>779</v>
      </c>
      <c r="C475" s="5">
        <v>25.81</v>
      </c>
      <c r="D475" s="4">
        <v>398</v>
      </c>
      <c r="E475" s="5">
        <v>31.02</v>
      </c>
      <c r="F475" s="4">
        <v>381</v>
      </c>
      <c r="G475" s="5">
        <v>21.97</v>
      </c>
      <c r="H475" s="4">
        <v>0</v>
      </c>
    </row>
    <row r="476" spans="1:8" x14ac:dyDescent="0.2">
      <c r="A476" s="2" t="s">
        <v>74</v>
      </c>
      <c r="B476" s="4">
        <v>229</v>
      </c>
      <c r="C476" s="5">
        <v>7.59</v>
      </c>
      <c r="D476" s="4">
        <v>84</v>
      </c>
      <c r="E476" s="5">
        <v>6.55</v>
      </c>
      <c r="F476" s="4">
        <v>145</v>
      </c>
      <c r="G476" s="5">
        <v>8.36</v>
      </c>
      <c r="H476" s="4">
        <v>0</v>
      </c>
    </row>
    <row r="477" spans="1:8" x14ac:dyDescent="0.2">
      <c r="A477" s="2" t="s">
        <v>75</v>
      </c>
      <c r="B477" s="4">
        <v>263</v>
      </c>
      <c r="C477" s="5">
        <v>8.7100000000000009</v>
      </c>
      <c r="D477" s="4">
        <v>183</v>
      </c>
      <c r="E477" s="5">
        <v>14.26</v>
      </c>
      <c r="F477" s="4">
        <v>80</v>
      </c>
      <c r="G477" s="5">
        <v>4.6100000000000003</v>
      </c>
      <c r="H477" s="4">
        <v>0</v>
      </c>
    </row>
    <row r="478" spans="1:8" x14ac:dyDescent="0.2">
      <c r="A478" s="2" t="s">
        <v>76</v>
      </c>
      <c r="B478" s="4">
        <v>257</v>
      </c>
      <c r="C478" s="5">
        <v>8.52</v>
      </c>
      <c r="D478" s="4">
        <v>183</v>
      </c>
      <c r="E478" s="5">
        <v>14.26</v>
      </c>
      <c r="F478" s="4">
        <v>74</v>
      </c>
      <c r="G478" s="5">
        <v>4.2699999999999996</v>
      </c>
      <c r="H478" s="4">
        <v>0</v>
      </c>
    </row>
    <row r="479" spans="1:8" x14ac:dyDescent="0.2">
      <c r="A479" s="2" t="s">
        <v>77</v>
      </c>
      <c r="B479" s="4">
        <v>99</v>
      </c>
      <c r="C479" s="5">
        <v>3.28</v>
      </c>
      <c r="D479" s="4">
        <v>63</v>
      </c>
      <c r="E479" s="5">
        <v>4.91</v>
      </c>
      <c r="F479" s="4">
        <v>36</v>
      </c>
      <c r="G479" s="5">
        <v>2.08</v>
      </c>
      <c r="H479" s="4">
        <v>0</v>
      </c>
    </row>
    <row r="480" spans="1:8" x14ac:dyDescent="0.2">
      <c r="A480" s="2" t="s">
        <v>78</v>
      </c>
      <c r="B480" s="4">
        <v>182</v>
      </c>
      <c r="C480" s="5">
        <v>6.03</v>
      </c>
      <c r="D480" s="4">
        <v>92</v>
      </c>
      <c r="E480" s="5">
        <v>7.17</v>
      </c>
      <c r="F480" s="4">
        <v>90</v>
      </c>
      <c r="G480" s="5">
        <v>5.19</v>
      </c>
      <c r="H480" s="4">
        <v>0</v>
      </c>
    </row>
    <row r="481" spans="1:8" x14ac:dyDescent="0.2">
      <c r="A481" s="2" t="s">
        <v>79</v>
      </c>
      <c r="B481" s="4">
        <v>105</v>
      </c>
      <c r="C481" s="5">
        <v>3.48</v>
      </c>
      <c r="D481" s="4">
        <v>15</v>
      </c>
      <c r="E481" s="5">
        <v>1.17</v>
      </c>
      <c r="F481" s="4">
        <v>89</v>
      </c>
      <c r="G481" s="5">
        <v>5.13</v>
      </c>
      <c r="H481" s="4">
        <v>0</v>
      </c>
    </row>
    <row r="482" spans="1:8" x14ac:dyDescent="0.2">
      <c r="A482" s="1" t="s">
        <v>30</v>
      </c>
      <c r="B482" s="4">
        <v>2501</v>
      </c>
      <c r="C482" s="5">
        <v>100.00999999999999</v>
      </c>
      <c r="D482" s="4">
        <v>1292</v>
      </c>
      <c r="E482" s="5">
        <v>100</v>
      </c>
      <c r="F482" s="4">
        <v>1204</v>
      </c>
      <c r="G482" s="5">
        <v>99.999999999999986</v>
      </c>
      <c r="H482" s="4">
        <v>2</v>
      </c>
    </row>
    <row r="483" spans="1:8" x14ac:dyDescent="0.2">
      <c r="A483" s="2" t="s">
        <v>65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66</v>
      </c>
      <c r="B484" s="4">
        <v>427</v>
      </c>
      <c r="C484" s="5">
        <v>17.07</v>
      </c>
      <c r="D484" s="4">
        <v>189</v>
      </c>
      <c r="E484" s="5">
        <v>14.63</v>
      </c>
      <c r="F484" s="4">
        <v>238</v>
      </c>
      <c r="G484" s="5">
        <v>19.77</v>
      </c>
      <c r="H484" s="4">
        <v>0</v>
      </c>
    </row>
    <row r="485" spans="1:8" x14ac:dyDescent="0.2">
      <c r="A485" s="2" t="s">
        <v>67</v>
      </c>
      <c r="B485" s="4">
        <v>322</v>
      </c>
      <c r="C485" s="5">
        <v>12.87</v>
      </c>
      <c r="D485" s="4">
        <v>118</v>
      </c>
      <c r="E485" s="5">
        <v>9.1300000000000008</v>
      </c>
      <c r="F485" s="4">
        <v>204</v>
      </c>
      <c r="G485" s="5">
        <v>16.940000000000001</v>
      </c>
      <c r="H485" s="4">
        <v>0</v>
      </c>
    </row>
    <row r="486" spans="1:8" x14ac:dyDescent="0.2">
      <c r="A486" s="2" t="s">
        <v>68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69</v>
      </c>
      <c r="B487" s="4">
        <v>25</v>
      </c>
      <c r="C487" s="5">
        <v>1</v>
      </c>
      <c r="D487" s="4">
        <v>3</v>
      </c>
      <c r="E487" s="5">
        <v>0.23</v>
      </c>
      <c r="F487" s="4">
        <v>22</v>
      </c>
      <c r="G487" s="5">
        <v>1.83</v>
      </c>
      <c r="H487" s="4">
        <v>0</v>
      </c>
    </row>
    <row r="488" spans="1:8" x14ac:dyDescent="0.2">
      <c r="A488" s="2" t="s">
        <v>70</v>
      </c>
      <c r="B488" s="4">
        <v>18</v>
      </c>
      <c r="C488" s="5">
        <v>0.72</v>
      </c>
      <c r="D488" s="4">
        <v>0</v>
      </c>
      <c r="E488" s="5">
        <v>0</v>
      </c>
      <c r="F488" s="4">
        <v>18</v>
      </c>
      <c r="G488" s="5">
        <v>1.5</v>
      </c>
      <c r="H488" s="4">
        <v>0</v>
      </c>
    </row>
    <row r="489" spans="1:8" x14ac:dyDescent="0.2">
      <c r="A489" s="2" t="s">
        <v>71</v>
      </c>
      <c r="B489" s="4">
        <v>496</v>
      </c>
      <c r="C489" s="5">
        <v>19.829999999999998</v>
      </c>
      <c r="D489" s="4">
        <v>236</v>
      </c>
      <c r="E489" s="5">
        <v>18.27</v>
      </c>
      <c r="F489" s="4">
        <v>260</v>
      </c>
      <c r="G489" s="5">
        <v>21.59</v>
      </c>
      <c r="H489" s="4">
        <v>0</v>
      </c>
    </row>
    <row r="490" spans="1:8" x14ac:dyDescent="0.2">
      <c r="A490" s="2" t="s">
        <v>72</v>
      </c>
      <c r="B490" s="4">
        <v>18</v>
      </c>
      <c r="C490" s="5">
        <v>0.72</v>
      </c>
      <c r="D490" s="4">
        <v>1</v>
      </c>
      <c r="E490" s="5">
        <v>0.08</v>
      </c>
      <c r="F490" s="4">
        <v>17</v>
      </c>
      <c r="G490" s="5">
        <v>1.41</v>
      </c>
      <c r="H490" s="4">
        <v>0</v>
      </c>
    </row>
    <row r="491" spans="1:8" x14ac:dyDescent="0.2">
      <c r="A491" s="2" t="s">
        <v>73</v>
      </c>
      <c r="B491" s="4">
        <v>192</v>
      </c>
      <c r="C491" s="5">
        <v>7.68</v>
      </c>
      <c r="D491" s="4">
        <v>34</v>
      </c>
      <c r="E491" s="5">
        <v>2.63</v>
      </c>
      <c r="F491" s="4">
        <v>156</v>
      </c>
      <c r="G491" s="5">
        <v>12.96</v>
      </c>
      <c r="H491" s="4">
        <v>1</v>
      </c>
    </row>
    <row r="492" spans="1:8" x14ac:dyDescent="0.2">
      <c r="A492" s="2" t="s">
        <v>74</v>
      </c>
      <c r="B492" s="4">
        <v>115</v>
      </c>
      <c r="C492" s="5">
        <v>4.5999999999999996</v>
      </c>
      <c r="D492" s="4">
        <v>56</v>
      </c>
      <c r="E492" s="5">
        <v>4.33</v>
      </c>
      <c r="F492" s="4">
        <v>59</v>
      </c>
      <c r="G492" s="5">
        <v>4.9000000000000004</v>
      </c>
      <c r="H492" s="4">
        <v>0</v>
      </c>
    </row>
    <row r="493" spans="1:8" x14ac:dyDescent="0.2">
      <c r="A493" s="2" t="s">
        <v>75</v>
      </c>
      <c r="B493" s="4">
        <v>312</v>
      </c>
      <c r="C493" s="5">
        <v>12.48</v>
      </c>
      <c r="D493" s="4">
        <v>271</v>
      </c>
      <c r="E493" s="5">
        <v>20.98</v>
      </c>
      <c r="F493" s="4">
        <v>40</v>
      </c>
      <c r="G493" s="5">
        <v>3.32</v>
      </c>
      <c r="H493" s="4">
        <v>1</v>
      </c>
    </row>
    <row r="494" spans="1:8" x14ac:dyDescent="0.2">
      <c r="A494" s="2" t="s">
        <v>76</v>
      </c>
      <c r="B494" s="4">
        <v>283</v>
      </c>
      <c r="C494" s="5">
        <v>11.32</v>
      </c>
      <c r="D494" s="4">
        <v>219</v>
      </c>
      <c r="E494" s="5">
        <v>16.95</v>
      </c>
      <c r="F494" s="4">
        <v>64</v>
      </c>
      <c r="G494" s="5">
        <v>5.32</v>
      </c>
      <c r="H494" s="4">
        <v>0</v>
      </c>
    </row>
    <row r="495" spans="1:8" x14ac:dyDescent="0.2">
      <c r="A495" s="2" t="s">
        <v>77</v>
      </c>
      <c r="B495" s="4">
        <v>95</v>
      </c>
      <c r="C495" s="5">
        <v>3.8</v>
      </c>
      <c r="D495" s="4">
        <v>64</v>
      </c>
      <c r="E495" s="5">
        <v>4.95</v>
      </c>
      <c r="F495" s="4">
        <v>31</v>
      </c>
      <c r="G495" s="5">
        <v>2.57</v>
      </c>
      <c r="H495" s="4">
        <v>0</v>
      </c>
    </row>
    <row r="496" spans="1:8" x14ac:dyDescent="0.2">
      <c r="A496" s="2" t="s">
        <v>78</v>
      </c>
      <c r="B496" s="4">
        <v>119</v>
      </c>
      <c r="C496" s="5">
        <v>4.76</v>
      </c>
      <c r="D496" s="4">
        <v>71</v>
      </c>
      <c r="E496" s="5">
        <v>5.5</v>
      </c>
      <c r="F496" s="4">
        <v>48</v>
      </c>
      <c r="G496" s="5">
        <v>3.99</v>
      </c>
      <c r="H496" s="4">
        <v>0</v>
      </c>
    </row>
    <row r="497" spans="1:8" x14ac:dyDescent="0.2">
      <c r="A497" s="2" t="s">
        <v>79</v>
      </c>
      <c r="B497" s="4">
        <v>79</v>
      </c>
      <c r="C497" s="5">
        <v>3.16</v>
      </c>
      <c r="D497" s="4">
        <v>30</v>
      </c>
      <c r="E497" s="5">
        <v>2.3199999999999998</v>
      </c>
      <c r="F497" s="4">
        <v>47</v>
      </c>
      <c r="G497" s="5">
        <v>3.9</v>
      </c>
      <c r="H497" s="4">
        <v>0</v>
      </c>
    </row>
    <row r="498" spans="1:8" x14ac:dyDescent="0.2">
      <c r="A498" s="1" t="s">
        <v>31</v>
      </c>
      <c r="B498" s="4">
        <v>4101</v>
      </c>
      <c r="C498" s="5">
        <v>100.00999999999999</v>
      </c>
      <c r="D498" s="4">
        <v>1514</v>
      </c>
      <c r="E498" s="5">
        <v>100.02000000000001</v>
      </c>
      <c r="F498" s="4">
        <v>2576</v>
      </c>
      <c r="G498" s="5">
        <v>99.999999999999986</v>
      </c>
      <c r="H498" s="4">
        <v>3</v>
      </c>
    </row>
    <row r="499" spans="1:8" x14ac:dyDescent="0.2">
      <c r="A499" s="2" t="s">
        <v>65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66</v>
      </c>
      <c r="B500" s="4">
        <v>674</v>
      </c>
      <c r="C500" s="5">
        <v>16.440000000000001</v>
      </c>
      <c r="D500" s="4">
        <v>92</v>
      </c>
      <c r="E500" s="5">
        <v>6.08</v>
      </c>
      <c r="F500" s="4">
        <v>581</v>
      </c>
      <c r="G500" s="5">
        <v>22.55</v>
      </c>
      <c r="H500" s="4">
        <v>1</v>
      </c>
    </row>
    <row r="501" spans="1:8" x14ac:dyDescent="0.2">
      <c r="A501" s="2" t="s">
        <v>67</v>
      </c>
      <c r="B501" s="4">
        <v>193</v>
      </c>
      <c r="C501" s="5">
        <v>4.71</v>
      </c>
      <c r="D501" s="4">
        <v>29</v>
      </c>
      <c r="E501" s="5">
        <v>1.92</v>
      </c>
      <c r="F501" s="4">
        <v>164</v>
      </c>
      <c r="G501" s="5">
        <v>6.37</v>
      </c>
      <c r="H501" s="4">
        <v>0</v>
      </c>
    </row>
    <row r="502" spans="1:8" x14ac:dyDescent="0.2">
      <c r="A502" s="2" t="s">
        <v>68</v>
      </c>
      <c r="B502" s="4">
        <v>1</v>
      </c>
      <c r="C502" s="5">
        <v>0.02</v>
      </c>
      <c r="D502" s="4">
        <v>0</v>
      </c>
      <c r="E502" s="5">
        <v>0</v>
      </c>
      <c r="F502" s="4">
        <v>1</v>
      </c>
      <c r="G502" s="5">
        <v>0.04</v>
      </c>
      <c r="H502" s="4">
        <v>0</v>
      </c>
    </row>
    <row r="503" spans="1:8" x14ac:dyDescent="0.2">
      <c r="A503" s="2" t="s">
        <v>69</v>
      </c>
      <c r="B503" s="4">
        <v>119</v>
      </c>
      <c r="C503" s="5">
        <v>2.9</v>
      </c>
      <c r="D503" s="4">
        <v>8</v>
      </c>
      <c r="E503" s="5">
        <v>0.53</v>
      </c>
      <c r="F503" s="4">
        <v>111</v>
      </c>
      <c r="G503" s="5">
        <v>4.3099999999999996</v>
      </c>
      <c r="H503" s="4">
        <v>0</v>
      </c>
    </row>
    <row r="504" spans="1:8" x14ac:dyDescent="0.2">
      <c r="A504" s="2" t="s">
        <v>70</v>
      </c>
      <c r="B504" s="4">
        <v>31</v>
      </c>
      <c r="C504" s="5">
        <v>0.76</v>
      </c>
      <c r="D504" s="4">
        <v>1</v>
      </c>
      <c r="E504" s="5">
        <v>7.0000000000000007E-2</v>
      </c>
      <c r="F504" s="4">
        <v>30</v>
      </c>
      <c r="G504" s="5">
        <v>1.1599999999999999</v>
      </c>
      <c r="H504" s="4">
        <v>0</v>
      </c>
    </row>
    <row r="505" spans="1:8" x14ac:dyDescent="0.2">
      <c r="A505" s="2" t="s">
        <v>71</v>
      </c>
      <c r="B505" s="4">
        <v>728</v>
      </c>
      <c r="C505" s="5">
        <v>17.75</v>
      </c>
      <c r="D505" s="4">
        <v>216</v>
      </c>
      <c r="E505" s="5">
        <v>14.27</v>
      </c>
      <c r="F505" s="4">
        <v>511</v>
      </c>
      <c r="G505" s="5">
        <v>19.84</v>
      </c>
      <c r="H505" s="4">
        <v>1</v>
      </c>
    </row>
    <row r="506" spans="1:8" x14ac:dyDescent="0.2">
      <c r="A506" s="2" t="s">
        <v>72</v>
      </c>
      <c r="B506" s="4">
        <v>32</v>
      </c>
      <c r="C506" s="5">
        <v>0.78</v>
      </c>
      <c r="D506" s="4">
        <v>3</v>
      </c>
      <c r="E506" s="5">
        <v>0.2</v>
      </c>
      <c r="F506" s="4">
        <v>29</v>
      </c>
      <c r="G506" s="5">
        <v>1.1299999999999999</v>
      </c>
      <c r="H506" s="4">
        <v>0</v>
      </c>
    </row>
    <row r="507" spans="1:8" x14ac:dyDescent="0.2">
      <c r="A507" s="2" t="s">
        <v>73</v>
      </c>
      <c r="B507" s="4">
        <v>679</v>
      </c>
      <c r="C507" s="5">
        <v>16.559999999999999</v>
      </c>
      <c r="D507" s="4">
        <v>193</v>
      </c>
      <c r="E507" s="5">
        <v>12.75</v>
      </c>
      <c r="F507" s="4">
        <v>484</v>
      </c>
      <c r="G507" s="5">
        <v>18.79</v>
      </c>
      <c r="H507" s="4">
        <v>0</v>
      </c>
    </row>
    <row r="508" spans="1:8" x14ac:dyDescent="0.2">
      <c r="A508" s="2" t="s">
        <v>74</v>
      </c>
      <c r="B508" s="4">
        <v>271</v>
      </c>
      <c r="C508" s="5">
        <v>6.61</v>
      </c>
      <c r="D508" s="4">
        <v>109</v>
      </c>
      <c r="E508" s="5">
        <v>7.2</v>
      </c>
      <c r="F508" s="4">
        <v>160</v>
      </c>
      <c r="G508" s="5">
        <v>6.21</v>
      </c>
      <c r="H508" s="4">
        <v>1</v>
      </c>
    </row>
    <row r="509" spans="1:8" x14ac:dyDescent="0.2">
      <c r="A509" s="2" t="s">
        <v>75</v>
      </c>
      <c r="B509" s="4">
        <v>407</v>
      </c>
      <c r="C509" s="5">
        <v>9.92</v>
      </c>
      <c r="D509" s="4">
        <v>291</v>
      </c>
      <c r="E509" s="5">
        <v>19.22</v>
      </c>
      <c r="F509" s="4">
        <v>116</v>
      </c>
      <c r="G509" s="5">
        <v>4.5</v>
      </c>
      <c r="H509" s="4">
        <v>0</v>
      </c>
    </row>
    <row r="510" spans="1:8" x14ac:dyDescent="0.2">
      <c r="A510" s="2" t="s">
        <v>76</v>
      </c>
      <c r="B510" s="4">
        <v>438</v>
      </c>
      <c r="C510" s="5">
        <v>10.68</v>
      </c>
      <c r="D510" s="4">
        <v>294</v>
      </c>
      <c r="E510" s="5">
        <v>19.420000000000002</v>
      </c>
      <c r="F510" s="4">
        <v>142</v>
      </c>
      <c r="G510" s="5">
        <v>5.51</v>
      </c>
      <c r="H510" s="4">
        <v>0</v>
      </c>
    </row>
    <row r="511" spans="1:8" x14ac:dyDescent="0.2">
      <c r="A511" s="2" t="s">
        <v>77</v>
      </c>
      <c r="B511" s="4">
        <v>159</v>
      </c>
      <c r="C511" s="5">
        <v>3.88</v>
      </c>
      <c r="D511" s="4">
        <v>91</v>
      </c>
      <c r="E511" s="5">
        <v>6.01</v>
      </c>
      <c r="F511" s="4">
        <v>67</v>
      </c>
      <c r="G511" s="5">
        <v>2.6</v>
      </c>
      <c r="H511" s="4">
        <v>0</v>
      </c>
    </row>
    <row r="512" spans="1:8" x14ac:dyDescent="0.2">
      <c r="A512" s="2" t="s">
        <v>78</v>
      </c>
      <c r="B512" s="4">
        <v>242</v>
      </c>
      <c r="C512" s="5">
        <v>5.9</v>
      </c>
      <c r="D512" s="4">
        <v>162</v>
      </c>
      <c r="E512" s="5">
        <v>10.7</v>
      </c>
      <c r="F512" s="4">
        <v>80</v>
      </c>
      <c r="G512" s="5">
        <v>3.11</v>
      </c>
      <c r="H512" s="4">
        <v>0</v>
      </c>
    </row>
    <row r="513" spans="1:8" x14ac:dyDescent="0.2">
      <c r="A513" s="2" t="s">
        <v>79</v>
      </c>
      <c r="B513" s="4">
        <v>127</v>
      </c>
      <c r="C513" s="5">
        <v>3.1</v>
      </c>
      <c r="D513" s="4">
        <v>25</v>
      </c>
      <c r="E513" s="5">
        <v>1.65</v>
      </c>
      <c r="F513" s="4">
        <v>100</v>
      </c>
      <c r="G513" s="5">
        <v>3.88</v>
      </c>
      <c r="H513" s="4">
        <v>0</v>
      </c>
    </row>
    <row r="514" spans="1:8" x14ac:dyDescent="0.2">
      <c r="A514" s="1" t="s">
        <v>32</v>
      </c>
      <c r="B514" s="4">
        <v>1834</v>
      </c>
      <c r="C514" s="5">
        <v>99.99</v>
      </c>
      <c r="D514" s="4">
        <v>780</v>
      </c>
      <c r="E514" s="5">
        <v>100.01</v>
      </c>
      <c r="F514" s="4">
        <v>1049</v>
      </c>
      <c r="G514" s="5">
        <v>99.990000000000009</v>
      </c>
      <c r="H514" s="4">
        <v>1</v>
      </c>
    </row>
    <row r="515" spans="1:8" x14ac:dyDescent="0.2">
      <c r="A515" s="2" t="s">
        <v>65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66</v>
      </c>
      <c r="B516" s="4">
        <v>245</v>
      </c>
      <c r="C516" s="5">
        <v>13.36</v>
      </c>
      <c r="D516" s="4">
        <v>38</v>
      </c>
      <c r="E516" s="5">
        <v>4.87</v>
      </c>
      <c r="F516" s="4">
        <v>207</v>
      </c>
      <c r="G516" s="5">
        <v>19.73</v>
      </c>
      <c r="H516" s="4">
        <v>0</v>
      </c>
    </row>
    <row r="517" spans="1:8" x14ac:dyDescent="0.2">
      <c r="A517" s="2" t="s">
        <v>67</v>
      </c>
      <c r="B517" s="4">
        <v>161</v>
      </c>
      <c r="C517" s="5">
        <v>8.7799999999999994</v>
      </c>
      <c r="D517" s="4">
        <v>29</v>
      </c>
      <c r="E517" s="5">
        <v>3.72</v>
      </c>
      <c r="F517" s="4">
        <v>132</v>
      </c>
      <c r="G517" s="5">
        <v>12.58</v>
      </c>
      <c r="H517" s="4">
        <v>0</v>
      </c>
    </row>
    <row r="518" spans="1:8" x14ac:dyDescent="0.2">
      <c r="A518" s="2" t="s">
        <v>68</v>
      </c>
      <c r="B518" s="4">
        <v>1</v>
      </c>
      <c r="C518" s="5">
        <v>0.05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69</v>
      </c>
      <c r="B519" s="4">
        <v>23</v>
      </c>
      <c r="C519" s="5">
        <v>1.25</v>
      </c>
      <c r="D519" s="4">
        <v>0</v>
      </c>
      <c r="E519" s="5">
        <v>0</v>
      </c>
      <c r="F519" s="4">
        <v>23</v>
      </c>
      <c r="G519" s="5">
        <v>2.19</v>
      </c>
      <c r="H519" s="4">
        <v>0</v>
      </c>
    </row>
    <row r="520" spans="1:8" x14ac:dyDescent="0.2">
      <c r="A520" s="2" t="s">
        <v>70</v>
      </c>
      <c r="B520" s="4">
        <v>20</v>
      </c>
      <c r="C520" s="5">
        <v>1.0900000000000001</v>
      </c>
      <c r="D520" s="4">
        <v>3</v>
      </c>
      <c r="E520" s="5">
        <v>0.38</v>
      </c>
      <c r="F520" s="4">
        <v>17</v>
      </c>
      <c r="G520" s="5">
        <v>1.62</v>
      </c>
      <c r="H520" s="4">
        <v>0</v>
      </c>
    </row>
    <row r="521" spans="1:8" x14ac:dyDescent="0.2">
      <c r="A521" s="2" t="s">
        <v>71</v>
      </c>
      <c r="B521" s="4">
        <v>352</v>
      </c>
      <c r="C521" s="5">
        <v>19.190000000000001</v>
      </c>
      <c r="D521" s="4">
        <v>124</v>
      </c>
      <c r="E521" s="5">
        <v>15.9</v>
      </c>
      <c r="F521" s="4">
        <v>228</v>
      </c>
      <c r="G521" s="5">
        <v>21.73</v>
      </c>
      <c r="H521" s="4">
        <v>0</v>
      </c>
    </row>
    <row r="522" spans="1:8" x14ac:dyDescent="0.2">
      <c r="A522" s="2" t="s">
        <v>72</v>
      </c>
      <c r="B522" s="4">
        <v>11</v>
      </c>
      <c r="C522" s="5">
        <v>0.6</v>
      </c>
      <c r="D522" s="4">
        <v>0</v>
      </c>
      <c r="E522" s="5">
        <v>0</v>
      </c>
      <c r="F522" s="4">
        <v>11</v>
      </c>
      <c r="G522" s="5">
        <v>1.05</v>
      </c>
      <c r="H522" s="4">
        <v>0</v>
      </c>
    </row>
    <row r="523" spans="1:8" x14ac:dyDescent="0.2">
      <c r="A523" s="2" t="s">
        <v>73</v>
      </c>
      <c r="B523" s="4">
        <v>214</v>
      </c>
      <c r="C523" s="5">
        <v>11.67</v>
      </c>
      <c r="D523" s="4">
        <v>49</v>
      </c>
      <c r="E523" s="5">
        <v>6.28</v>
      </c>
      <c r="F523" s="4">
        <v>165</v>
      </c>
      <c r="G523" s="5">
        <v>15.73</v>
      </c>
      <c r="H523" s="4">
        <v>0</v>
      </c>
    </row>
    <row r="524" spans="1:8" x14ac:dyDescent="0.2">
      <c r="A524" s="2" t="s">
        <v>74</v>
      </c>
      <c r="B524" s="4">
        <v>93</v>
      </c>
      <c r="C524" s="5">
        <v>5.07</v>
      </c>
      <c r="D524" s="4">
        <v>47</v>
      </c>
      <c r="E524" s="5">
        <v>6.03</v>
      </c>
      <c r="F524" s="4">
        <v>46</v>
      </c>
      <c r="G524" s="5">
        <v>4.3899999999999997</v>
      </c>
      <c r="H524" s="4">
        <v>0</v>
      </c>
    </row>
    <row r="525" spans="1:8" x14ac:dyDescent="0.2">
      <c r="A525" s="2" t="s">
        <v>75</v>
      </c>
      <c r="B525" s="4">
        <v>241</v>
      </c>
      <c r="C525" s="5">
        <v>13.14</v>
      </c>
      <c r="D525" s="4">
        <v>202</v>
      </c>
      <c r="E525" s="5">
        <v>25.9</v>
      </c>
      <c r="F525" s="4">
        <v>39</v>
      </c>
      <c r="G525" s="5">
        <v>3.72</v>
      </c>
      <c r="H525" s="4">
        <v>0</v>
      </c>
    </row>
    <row r="526" spans="1:8" x14ac:dyDescent="0.2">
      <c r="A526" s="2" t="s">
        <v>76</v>
      </c>
      <c r="B526" s="4">
        <v>221</v>
      </c>
      <c r="C526" s="5">
        <v>12.05</v>
      </c>
      <c r="D526" s="4">
        <v>153</v>
      </c>
      <c r="E526" s="5">
        <v>19.62</v>
      </c>
      <c r="F526" s="4">
        <v>68</v>
      </c>
      <c r="G526" s="5">
        <v>6.48</v>
      </c>
      <c r="H526" s="4">
        <v>0</v>
      </c>
    </row>
    <row r="527" spans="1:8" x14ac:dyDescent="0.2">
      <c r="A527" s="2" t="s">
        <v>77</v>
      </c>
      <c r="B527" s="4">
        <v>90</v>
      </c>
      <c r="C527" s="5">
        <v>4.91</v>
      </c>
      <c r="D527" s="4">
        <v>51</v>
      </c>
      <c r="E527" s="5">
        <v>6.54</v>
      </c>
      <c r="F527" s="4">
        <v>39</v>
      </c>
      <c r="G527" s="5">
        <v>3.72</v>
      </c>
      <c r="H527" s="4">
        <v>0</v>
      </c>
    </row>
    <row r="528" spans="1:8" x14ac:dyDescent="0.2">
      <c r="A528" s="2" t="s">
        <v>78</v>
      </c>
      <c r="B528" s="4">
        <v>109</v>
      </c>
      <c r="C528" s="5">
        <v>5.94</v>
      </c>
      <c r="D528" s="4">
        <v>71</v>
      </c>
      <c r="E528" s="5">
        <v>9.1</v>
      </c>
      <c r="F528" s="4">
        <v>36</v>
      </c>
      <c r="G528" s="5">
        <v>3.43</v>
      </c>
      <c r="H528" s="4">
        <v>0</v>
      </c>
    </row>
    <row r="529" spans="1:8" x14ac:dyDescent="0.2">
      <c r="A529" s="2" t="s">
        <v>79</v>
      </c>
      <c r="B529" s="4">
        <v>53</v>
      </c>
      <c r="C529" s="5">
        <v>2.89</v>
      </c>
      <c r="D529" s="4">
        <v>13</v>
      </c>
      <c r="E529" s="5">
        <v>1.67</v>
      </c>
      <c r="F529" s="4">
        <v>38</v>
      </c>
      <c r="G529" s="5">
        <v>3.62</v>
      </c>
      <c r="H529" s="4">
        <v>1</v>
      </c>
    </row>
    <row r="530" spans="1:8" x14ac:dyDescent="0.2">
      <c r="A530" s="1" t="s">
        <v>33</v>
      </c>
      <c r="B530" s="4">
        <v>3623</v>
      </c>
      <c r="C530" s="5">
        <v>99.990000000000009</v>
      </c>
      <c r="D530" s="4">
        <v>1190</v>
      </c>
      <c r="E530" s="5">
        <v>100.00000000000001</v>
      </c>
      <c r="F530" s="4">
        <v>2425</v>
      </c>
      <c r="G530" s="5">
        <v>99.990000000000009</v>
      </c>
      <c r="H530" s="4">
        <v>3</v>
      </c>
    </row>
    <row r="531" spans="1:8" x14ac:dyDescent="0.2">
      <c r="A531" s="2" t="s">
        <v>65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66</v>
      </c>
      <c r="B532" s="4">
        <v>459</v>
      </c>
      <c r="C532" s="5">
        <v>12.67</v>
      </c>
      <c r="D532" s="4">
        <v>53</v>
      </c>
      <c r="E532" s="5">
        <v>4.45</v>
      </c>
      <c r="F532" s="4">
        <v>406</v>
      </c>
      <c r="G532" s="5">
        <v>16.739999999999998</v>
      </c>
      <c r="H532" s="4">
        <v>0</v>
      </c>
    </row>
    <row r="533" spans="1:8" x14ac:dyDescent="0.2">
      <c r="A533" s="2" t="s">
        <v>67</v>
      </c>
      <c r="B533" s="4">
        <v>196</v>
      </c>
      <c r="C533" s="5">
        <v>5.41</v>
      </c>
      <c r="D533" s="4">
        <v>35</v>
      </c>
      <c r="E533" s="5">
        <v>2.94</v>
      </c>
      <c r="F533" s="4">
        <v>161</v>
      </c>
      <c r="G533" s="5">
        <v>6.64</v>
      </c>
      <c r="H533" s="4">
        <v>0</v>
      </c>
    </row>
    <row r="534" spans="1:8" x14ac:dyDescent="0.2">
      <c r="A534" s="2" t="s">
        <v>68</v>
      </c>
      <c r="B534" s="4">
        <v>6</v>
      </c>
      <c r="C534" s="5">
        <v>0.17</v>
      </c>
      <c r="D534" s="4">
        <v>0</v>
      </c>
      <c r="E534" s="5">
        <v>0</v>
      </c>
      <c r="F534" s="4">
        <v>5</v>
      </c>
      <c r="G534" s="5">
        <v>0.21</v>
      </c>
      <c r="H534" s="4">
        <v>0</v>
      </c>
    </row>
    <row r="535" spans="1:8" x14ac:dyDescent="0.2">
      <c r="A535" s="2" t="s">
        <v>69</v>
      </c>
      <c r="B535" s="4">
        <v>119</v>
      </c>
      <c r="C535" s="5">
        <v>3.28</v>
      </c>
      <c r="D535" s="4">
        <v>5</v>
      </c>
      <c r="E535" s="5">
        <v>0.42</v>
      </c>
      <c r="F535" s="4">
        <v>114</v>
      </c>
      <c r="G535" s="5">
        <v>4.7</v>
      </c>
      <c r="H535" s="4">
        <v>0</v>
      </c>
    </row>
    <row r="536" spans="1:8" x14ac:dyDescent="0.2">
      <c r="A536" s="2" t="s">
        <v>70</v>
      </c>
      <c r="B536" s="4">
        <v>28</v>
      </c>
      <c r="C536" s="5">
        <v>0.77</v>
      </c>
      <c r="D536" s="4">
        <v>3</v>
      </c>
      <c r="E536" s="5">
        <v>0.25</v>
      </c>
      <c r="F536" s="4">
        <v>25</v>
      </c>
      <c r="G536" s="5">
        <v>1.03</v>
      </c>
      <c r="H536" s="4">
        <v>0</v>
      </c>
    </row>
    <row r="537" spans="1:8" x14ac:dyDescent="0.2">
      <c r="A537" s="2" t="s">
        <v>71</v>
      </c>
      <c r="B537" s="4">
        <v>709</v>
      </c>
      <c r="C537" s="5">
        <v>19.57</v>
      </c>
      <c r="D537" s="4">
        <v>222</v>
      </c>
      <c r="E537" s="5">
        <v>18.66</v>
      </c>
      <c r="F537" s="4">
        <v>486</v>
      </c>
      <c r="G537" s="5">
        <v>20.04</v>
      </c>
      <c r="H537" s="4">
        <v>1</v>
      </c>
    </row>
    <row r="538" spans="1:8" x14ac:dyDescent="0.2">
      <c r="A538" s="2" t="s">
        <v>72</v>
      </c>
      <c r="B538" s="4">
        <v>15</v>
      </c>
      <c r="C538" s="5">
        <v>0.41</v>
      </c>
      <c r="D538" s="4">
        <v>0</v>
      </c>
      <c r="E538" s="5">
        <v>0</v>
      </c>
      <c r="F538" s="4">
        <v>15</v>
      </c>
      <c r="G538" s="5">
        <v>0.62</v>
      </c>
      <c r="H538" s="4">
        <v>0</v>
      </c>
    </row>
    <row r="539" spans="1:8" x14ac:dyDescent="0.2">
      <c r="A539" s="2" t="s">
        <v>73</v>
      </c>
      <c r="B539" s="4">
        <v>522</v>
      </c>
      <c r="C539" s="5">
        <v>14.41</v>
      </c>
      <c r="D539" s="4">
        <v>46</v>
      </c>
      <c r="E539" s="5">
        <v>3.87</v>
      </c>
      <c r="F539" s="4">
        <v>476</v>
      </c>
      <c r="G539" s="5">
        <v>19.63</v>
      </c>
      <c r="H539" s="4">
        <v>0</v>
      </c>
    </row>
    <row r="540" spans="1:8" x14ac:dyDescent="0.2">
      <c r="A540" s="2" t="s">
        <v>74</v>
      </c>
      <c r="B540" s="4">
        <v>315</v>
      </c>
      <c r="C540" s="5">
        <v>8.69</v>
      </c>
      <c r="D540" s="4">
        <v>101</v>
      </c>
      <c r="E540" s="5">
        <v>8.49</v>
      </c>
      <c r="F540" s="4">
        <v>213</v>
      </c>
      <c r="G540" s="5">
        <v>8.7799999999999994</v>
      </c>
      <c r="H540" s="4">
        <v>1</v>
      </c>
    </row>
    <row r="541" spans="1:8" x14ac:dyDescent="0.2">
      <c r="A541" s="2" t="s">
        <v>75</v>
      </c>
      <c r="B541" s="4">
        <v>403</v>
      </c>
      <c r="C541" s="5">
        <v>11.12</v>
      </c>
      <c r="D541" s="4">
        <v>285</v>
      </c>
      <c r="E541" s="5">
        <v>23.95</v>
      </c>
      <c r="F541" s="4">
        <v>117</v>
      </c>
      <c r="G541" s="5">
        <v>4.82</v>
      </c>
      <c r="H541" s="4">
        <v>0</v>
      </c>
    </row>
    <row r="542" spans="1:8" x14ac:dyDescent="0.2">
      <c r="A542" s="2" t="s">
        <v>76</v>
      </c>
      <c r="B542" s="4">
        <v>386</v>
      </c>
      <c r="C542" s="5">
        <v>10.65</v>
      </c>
      <c r="D542" s="4">
        <v>214</v>
      </c>
      <c r="E542" s="5">
        <v>17.98</v>
      </c>
      <c r="F542" s="4">
        <v>172</v>
      </c>
      <c r="G542" s="5">
        <v>7.09</v>
      </c>
      <c r="H542" s="4">
        <v>0</v>
      </c>
    </row>
    <row r="543" spans="1:8" x14ac:dyDescent="0.2">
      <c r="A543" s="2" t="s">
        <v>77</v>
      </c>
      <c r="B543" s="4">
        <v>148</v>
      </c>
      <c r="C543" s="5">
        <v>4.09</v>
      </c>
      <c r="D543" s="4">
        <v>85</v>
      </c>
      <c r="E543" s="5">
        <v>7.14</v>
      </c>
      <c r="F543" s="4">
        <v>63</v>
      </c>
      <c r="G543" s="5">
        <v>2.6</v>
      </c>
      <c r="H543" s="4">
        <v>0</v>
      </c>
    </row>
    <row r="544" spans="1:8" x14ac:dyDescent="0.2">
      <c r="A544" s="2" t="s">
        <v>78</v>
      </c>
      <c r="B544" s="4">
        <v>211</v>
      </c>
      <c r="C544" s="5">
        <v>5.82</v>
      </c>
      <c r="D544" s="4">
        <v>128</v>
      </c>
      <c r="E544" s="5">
        <v>10.76</v>
      </c>
      <c r="F544" s="4">
        <v>80</v>
      </c>
      <c r="G544" s="5">
        <v>3.3</v>
      </c>
      <c r="H544" s="4">
        <v>1</v>
      </c>
    </row>
    <row r="545" spans="1:8" x14ac:dyDescent="0.2">
      <c r="A545" s="2" t="s">
        <v>79</v>
      </c>
      <c r="B545" s="4">
        <v>106</v>
      </c>
      <c r="C545" s="5">
        <v>2.93</v>
      </c>
      <c r="D545" s="4">
        <v>13</v>
      </c>
      <c r="E545" s="5">
        <v>1.0900000000000001</v>
      </c>
      <c r="F545" s="4">
        <v>92</v>
      </c>
      <c r="G545" s="5">
        <v>3.79</v>
      </c>
      <c r="H545" s="4">
        <v>0</v>
      </c>
    </row>
    <row r="546" spans="1:8" x14ac:dyDescent="0.2">
      <c r="A546" s="1" t="s">
        <v>34</v>
      </c>
      <c r="B546" s="4">
        <v>6278</v>
      </c>
      <c r="C546" s="5">
        <v>99.999999999999986</v>
      </c>
      <c r="D546" s="4">
        <v>2151</v>
      </c>
      <c r="E546" s="5">
        <v>100</v>
      </c>
      <c r="F546" s="4">
        <v>4110</v>
      </c>
      <c r="G546" s="5">
        <v>100</v>
      </c>
      <c r="H546" s="4">
        <v>10</v>
      </c>
    </row>
    <row r="547" spans="1:8" x14ac:dyDescent="0.2">
      <c r="A547" s="2" t="s">
        <v>65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66</v>
      </c>
      <c r="B548" s="4">
        <v>949</v>
      </c>
      <c r="C548" s="5">
        <v>15.12</v>
      </c>
      <c r="D548" s="4">
        <v>122</v>
      </c>
      <c r="E548" s="5">
        <v>5.67</v>
      </c>
      <c r="F548" s="4">
        <v>826</v>
      </c>
      <c r="G548" s="5">
        <v>20.100000000000001</v>
      </c>
      <c r="H548" s="4">
        <v>1</v>
      </c>
    </row>
    <row r="549" spans="1:8" x14ac:dyDescent="0.2">
      <c r="A549" s="2" t="s">
        <v>67</v>
      </c>
      <c r="B549" s="4">
        <v>281</v>
      </c>
      <c r="C549" s="5">
        <v>4.4800000000000004</v>
      </c>
      <c r="D549" s="4">
        <v>42</v>
      </c>
      <c r="E549" s="5">
        <v>1.95</v>
      </c>
      <c r="F549" s="4">
        <v>239</v>
      </c>
      <c r="G549" s="5">
        <v>5.82</v>
      </c>
      <c r="H549" s="4">
        <v>0</v>
      </c>
    </row>
    <row r="550" spans="1:8" x14ac:dyDescent="0.2">
      <c r="A550" s="2" t="s">
        <v>68</v>
      </c>
      <c r="B550" s="4">
        <v>2</v>
      </c>
      <c r="C550" s="5">
        <v>0.03</v>
      </c>
      <c r="D550" s="4">
        <v>0</v>
      </c>
      <c r="E550" s="5">
        <v>0</v>
      </c>
      <c r="F550" s="4">
        <v>2</v>
      </c>
      <c r="G550" s="5">
        <v>0.05</v>
      </c>
      <c r="H550" s="4">
        <v>0</v>
      </c>
    </row>
    <row r="551" spans="1:8" x14ac:dyDescent="0.2">
      <c r="A551" s="2" t="s">
        <v>69</v>
      </c>
      <c r="B551" s="4">
        <v>179</v>
      </c>
      <c r="C551" s="5">
        <v>2.85</v>
      </c>
      <c r="D551" s="4">
        <v>5</v>
      </c>
      <c r="E551" s="5">
        <v>0.23</v>
      </c>
      <c r="F551" s="4">
        <v>174</v>
      </c>
      <c r="G551" s="5">
        <v>4.2300000000000004</v>
      </c>
      <c r="H551" s="4">
        <v>0</v>
      </c>
    </row>
    <row r="552" spans="1:8" x14ac:dyDescent="0.2">
      <c r="A552" s="2" t="s">
        <v>70</v>
      </c>
      <c r="B552" s="4">
        <v>56</v>
      </c>
      <c r="C552" s="5">
        <v>0.89</v>
      </c>
      <c r="D552" s="4">
        <v>12</v>
      </c>
      <c r="E552" s="5">
        <v>0.56000000000000005</v>
      </c>
      <c r="F552" s="4">
        <v>44</v>
      </c>
      <c r="G552" s="5">
        <v>1.07</v>
      </c>
      <c r="H552" s="4">
        <v>0</v>
      </c>
    </row>
    <row r="553" spans="1:8" x14ac:dyDescent="0.2">
      <c r="A553" s="2" t="s">
        <v>71</v>
      </c>
      <c r="B553" s="4">
        <v>1252</v>
      </c>
      <c r="C553" s="5">
        <v>19.940000000000001</v>
      </c>
      <c r="D553" s="4">
        <v>347</v>
      </c>
      <c r="E553" s="5">
        <v>16.13</v>
      </c>
      <c r="F553" s="4">
        <v>904</v>
      </c>
      <c r="G553" s="5">
        <v>22</v>
      </c>
      <c r="H553" s="4">
        <v>1</v>
      </c>
    </row>
    <row r="554" spans="1:8" x14ac:dyDescent="0.2">
      <c r="A554" s="2" t="s">
        <v>72</v>
      </c>
      <c r="B554" s="4">
        <v>52</v>
      </c>
      <c r="C554" s="5">
        <v>0.83</v>
      </c>
      <c r="D554" s="4">
        <v>12</v>
      </c>
      <c r="E554" s="5">
        <v>0.56000000000000005</v>
      </c>
      <c r="F554" s="4">
        <v>40</v>
      </c>
      <c r="G554" s="5">
        <v>0.97</v>
      </c>
      <c r="H554" s="4">
        <v>0</v>
      </c>
    </row>
    <row r="555" spans="1:8" x14ac:dyDescent="0.2">
      <c r="A555" s="2" t="s">
        <v>73</v>
      </c>
      <c r="B555" s="4">
        <v>836</v>
      </c>
      <c r="C555" s="5">
        <v>13.32</v>
      </c>
      <c r="D555" s="4">
        <v>144</v>
      </c>
      <c r="E555" s="5">
        <v>6.69</v>
      </c>
      <c r="F555" s="4">
        <v>690</v>
      </c>
      <c r="G555" s="5">
        <v>16.79</v>
      </c>
      <c r="H555" s="4">
        <v>2</v>
      </c>
    </row>
    <row r="556" spans="1:8" x14ac:dyDescent="0.2">
      <c r="A556" s="2" t="s">
        <v>74</v>
      </c>
      <c r="B556" s="4">
        <v>550</v>
      </c>
      <c r="C556" s="5">
        <v>8.76</v>
      </c>
      <c r="D556" s="4">
        <v>200</v>
      </c>
      <c r="E556" s="5">
        <v>9.3000000000000007</v>
      </c>
      <c r="F556" s="4">
        <v>346</v>
      </c>
      <c r="G556" s="5">
        <v>8.42</v>
      </c>
      <c r="H556" s="4">
        <v>3</v>
      </c>
    </row>
    <row r="557" spans="1:8" x14ac:dyDescent="0.2">
      <c r="A557" s="2" t="s">
        <v>75</v>
      </c>
      <c r="B557" s="4">
        <v>507</v>
      </c>
      <c r="C557" s="5">
        <v>8.08</v>
      </c>
      <c r="D557" s="4">
        <v>349</v>
      </c>
      <c r="E557" s="5">
        <v>16.23</v>
      </c>
      <c r="F557" s="4">
        <v>158</v>
      </c>
      <c r="G557" s="5">
        <v>3.84</v>
      </c>
      <c r="H557" s="4">
        <v>0</v>
      </c>
    </row>
    <row r="558" spans="1:8" x14ac:dyDescent="0.2">
      <c r="A558" s="2" t="s">
        <v>76</v>
      </c>
      <c r="B558" s="4">
        <v>699</v>
      </c>
      <c r="C558" s="5">
        <v>11.13</v>
      </c>
      <c r="D558" s="4">
        <v>454</v>
      </c>
      <c r="E558" s="5">
        <v>21.11</v>
      </c>
      <c r="F558" s="4">
        <v>243</v>
      </c>
      <c r="G558" s="5">
        <v>5.91</v>
      </c>
      <c r="H558" s="4">
        <v>2</v>
      </c>
    </row>
    <row r="559" spans="1:8" x14ac:dyDescent="0.2">
      <c r="A559" s="2" t="s">
        <v>77</v>
      </c>
      <c r="B559" s="4">
        <v>328</v>
      </c>
      <c r="C559" s="5">
        <v>5.22</v>
      </c>
      <c r="D559" s="4">
        <v>205</v>
      </c>
      <c r="E559" s="5">
        <v>9.5299999999999994</v>
      </c>
      <c r="F559" s="4">
        <v>121</v>
      </c>
      <c r="G559" s="5">
        <v>2.94</v>
      </c>
      <c r="H559" s="4">
        <v>1</v>
      </c>
    </row>
    <row r="560" spans="1:8" x14ac:dyDescent="0.2">
      <c r="A560" s="2" t="s">
        <v>78</v>
      </c>
      <c r="B560" s="4">
        <v>364</v>
      </c>
      <c r="C560" s="5">
        <v>5.8</v>
      </c>
      <c r="D560" s="4">
        <v>224</v>
      </c>
      <c r="E560" s="5">
        <v>10.41</v>
      </c>
      <c r="F560" s="4">
        <v>139</v>
      </c>
      <c r="G560" s="5">
        <v>3.38</v>
      </c>
      <c r="H560" s="4">
        <v>0</v>
      </c>
    </row>
    <row r="561" spans="1:8" x14ac:dyDescent="0.2">
      <c r="A561" s="2" t="s">
        <v>79</v>
      </c>
      <c r="B561" s="4">
        <v>223</v>
      </c>
      <c r="C561" s="5">
        <v>3.55</v>
      </c>
      <c r="D561" s="4">
        <v>35</v>
      </c>
      <c r="E561" s="5">
        <v>1.63</v>
      </c>
      <c r="F561" s="4">
        <v>184</v>
      </c>
      <c r="G561" s="5">
        <v>4.4800000000000004</v>
      </c>
      <c r="H561" s="4">
        <v>0</v>
      </c>
    </row>
    <row r="562" spans="1:8" x14ac:dyDescent="0.2">
      <c r="A562" s="1" t="s">
        <v>35</v>
      </c>
      <c r="B562" s="4">
        <v>1665</v>
      </c>
      <c r="C562" s="5">
        <v>99.990000000000009</v>
      </c>
      <c r="D562" s="4">
        <v>636</v>
      </c>
      <c r="E562" s="5">
        <v>100.00999999999999</v>
      </c>
      <c r="F562" s="4">
        <v>1021</v>
      </c>
      <c r="G562" s="5">
        <v>100.02000000000001</v>
      </c>
      <c r="H562" s="4">
        <v>2</v>
      </c>
    </row>
    <row r="563" spans="1:8" x14ac:dyDescent="0.2">
      <c r="A563" s="2" t="s">
        <v>65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66</v>
      </c>
      <c r="B564" s="4">
        <v>148</v>
      </c>
      <c r="C564" s="5">
        <v>8.89</v>
      </c>
      <c r="D564" s="4">
        <v>14</v>
      </c>
      <c r="E564" s="5">
        <v>2.2000000000000002</v>
      </c>
      <c r="F564" s="4">
        <v>134</v>
      </c>
      <c r="G564" s="5">
        <v>13.12</v>
      </c>
      <c r="H564" s="4">
        <v>0</v>
      </c>
    </row>
    <row r="565" spans="1:8" x14ac:dyDescent="0.2">
      <c r="A565" s="2" t="s">
        <v>67</v>
      </c>
      <c r="B565" s="4">
        <v>60</v>
      </c>
      <c r="C565" s="5">
        <v>3.6</v>
      </c>
      <c r="D565" s="4">
        <v>10</v>
      </c>
      <c r="E565" s="5">
        <v>1.57</v>
      </c>
      <c r="F565" s="4">
        <v>50</v>
      </c>
      <c r="G565" s="5">
        <v>4.9000000000000004</v>
      </c>
      <c r="H565" s="4">
        <v>0</v>
      </c>
    </row>
    <row r="566" spans="1:8" x14ac:dyDescent="0.2">
      <c r="A566" s="2" t="s">
        <v>68</v>
      </c>
      <c r="B566" s="4">
        <v>1</v>
      </c>
      <c r="C566" s="5">
        <v>0.06</v>
      </c>
      <c r="D566" s="4">
        <v>0</v>
      </c>
      <c r="E566" s="5">
        <v>0</v>
      </c>
      <c r="F566" s="4">
        <v>1</v>
      </c>
      <c r="G566" s="5">
        <v>0.1</v>
      </c>
      <c r="H566" s="4">
        <v>0</v>
      </c>
    </row>
    <row r="567" spans="1:8" x14ac:dyDescent="0.2">
      <c r="A567" s="2" t="s">
        <v>69</v>
      </c>
      <c r="B567" s="4">
        <v>40</v>
      </c>
      <c r="C567" s="5">
        <v>2.4</v>
      </c>
      <c r="D567" s="4">
        <v>1</v>
      </c>
      <c r="E567" s="5">
        <v>0.16</v>
      </c>
      <c r="F567" s="4">
        <v>39</v>
      </c>
      <c r="G567" s="5">
        <v>3.82</v>
      </c>
      <c r="H567" s="4">
        <v>0</v>
      </c>
    </row>
    <row r="568" spans="1:8" x14ac:dyDescent="0.2">
      <c r="A568" s="2" t="s">
        <v>70</v>
      </c>
      <c r="B568" s="4">
        <v>3</v>
      </c>
      <c r="C568" s="5">
        <v>0.18</v>
      </c>
      <c r="D568" s="4">
        <v>1</v>
      </c>
      <c r="E568" s="5">
        <v>0.16</v>
      </c>
      <c r="F568" s="4">
        <v>2</v>
      </c>
      <c r="G568" s="5">
        <v>0.2</v>
      </c>
      <c r="H568" s="4">
        <v>0</v>
      </c>
    </row>
    <row r="569" spans="1:8" x14ac:dyDescent="0.2">
      <c r="A569" s="2" t="s">
        <v>71</v>
      </c>
      <c r="B569" s="4">
        <v>328</v>
      </c>
      <c r="C569" s="5">
        <v>19.7</v>
      </c>
      <c r="D569" s="4">
        <v>123</v>
      </c>
      <c r="E569" s="5">
        <v>19.34</v>
      </c>
      <c r="F569" s="4">
        <v>205</v>
      </c>
      <c r="G569" s="5">
        <v>20.079999999999998</v>
      </c>
      <c r="H569" s="4">
        <v>0</v>
      </c>
    </row>
    <row r="570" spans="1:8" x14ac:dyDescent="0.2">
      <c r="A570" s="2" t="s">
        <v>72</v>
      </c>
      <c r="B570" s="4">
        <v>14</v>
      </c>
      <c r="C570" s="5">
        <v>0.84</v>
      </c>
      <c r="D570" s="4">
        <v>0</v>
      </c>
      <c r="E570" s="5">
        <v>0</v>
      </c>
      <c r="F570" s="4">
        <v>14</v>
      </c>
      <c r="G570" s="5">
        <v>1.37</v>
      </c>
      <c r="H570" s="4">
        <v>0</v>
      </c>
    </row>
    <row r="571" spans="1:8" x14ac:dyDescent="0.2">
      <c r="A571" s="2" t="s">
        <v>73</v>
      </c>
      <c r="B571" s="4">
        <v>284</v>
      </c>
      <c r="C571" s="5">
        <v>17.059999999999999</v>
      </c>
      <c r="D571" s="4">
        <v>44</v>
      </c>
      <c r="E571" s="5">
        <v>6.92</v>
      </c>
      <c r="F571" s="4">
        <v>240</v>
      </c>
      <c r="G571" s="5">
        <v>23.51</v>
      </c>
      <c r="H571" s="4">
        <v>0</v>
      </c>
    </row>
    <row r="572" spans="1:8" x14ac:dyDescent="0.2">
      <c r="A572" s="2" t="s">
        <v>74</v>
      </c>
      <c r="B572" s="4">
        <v>155</v>
      </c>
      <c r="C572" s="5">
        <v>9.31</v>
      </c>
      <c r="D572" s="4">
        <v>59</v>
      </c>
      <c r="E572" s="5">
        <v>9.2799999999999994</v>
      </c>
      <c r="F572" s="4">
        <v>96</v>
      </c>
      <c r="G572" s="5">
        <v>9.4</v>
      </c>
      <c r="H572" s="4">
        <v>0</v>
      </c>
    </row>
    <row r="573" spans="1:8" x14ac:dyDescent="0.2">
      <c r="A573" s="2" t="s">
        <v>75</v>
      </c>
      <c r="B573" s="4">
        <v>175</v>
      </c>
      <c r="C573" s="5">
        <v>10.51</v>
      </c>
      <c r="D573" s="4">
        <v>124</v>
      </c>
      <c r="E573" s="5">
        <v>19.5</v>
      </c>
      <c r="F573" s="4">
        <v>51</v>
      </c>
      <c r="G573" s="5">
        <v>5</v>
      </c>
      <c r="H573" s="4">
        <v>0</v>
      </c>
    </row>
    <row r="574" spans="1:8" x14ac:dyDescent="0.2">
      <c r="A574" s="2" t="s">
        <v>76</v>
      </c>
      <c r="B574" s="4">
        <v>203</v>
      </c>
      <c r="C574" s="5">
        <v>12.19</v>
      </c>
      <c r="D574" s="4">
        <v>123</v>
      </c>
      <c r="E574" s="5">
        <v>19.34</v>
      </c>
      <c r="F574" s="4">
        <v>80</v>
      </c>
      <c r="G574" s="5">
        <v>7.84</v>
      </c>
      <c r="H574" s="4">
        <v>0</v>
      </c>
    </row>
    <row r="575" spans="1:8" x14ac:dyDescent="0.2">
      <c r="A575" s="2" t="s">
        <v>77</v>
      </c>
      <c r="B575" s="4">
        <v>78</v>
      </c>
      <c r="C575" s="5">
        <v>4.68</v>
      </c>
      <c r="D575" s="4">
        <v>43</v>
      </c>
      <c r="E575" s="5">
        <v>6.76</v>
      </c>
      <c r="F575" s="4">
        <v>29</v>
      </c>
      <c r="G575" s="5">
        <v>2.84</v>
      </c>
      <c r="H575" s="4">
        <v>1</v>
      </c>
    </row>
    <row r="576" spans="1:8" x14ac:dyDescent="0.2">
      <c r="A576" s="2" t="s">
        <v>78</v>
      </c>
      <c r="B576" s="4">
        <v>134</v>
      </c>
      <c r="C576" s="5">
        <v>8.0500000000000007</v>
      </c>
      <c r="D576" s="4">
        <v>87</v>
      </c>
      <c r="E576" s="5">
        <v>13.68</v>
      </c>
      <c r="F576" s="4">
        <v>46</v>
      </c>
      <c r="G576" s="5">
        <v>4.51</v>
      </c>
      <c r="H576" s="4">
        <v>0</v>
      </c>
    </row>
    <row r="577" spans="1:8" x14ac:dyDescent="0.2">
      <c r="A577" s="2" t="s">
        <v>79</v>
      </c>
      <c r="B577" s="4">
        <v>42</v>
      </c>
      <c r="C577" s="5">
        <v>2.52</v>
      </c>
      <c r="D577" s="4">
        <v>7</v>
      </c>
      <c r="E577" s="5">
        <v>1.1000000000000001</v>
      </c>
      <c r="F577" s="4">
        <v>34</v>
      </c>
      <c r="G577" s="5">
        <v>3.33</v>
      </c>
      <c r="H577" s="4">
        <v>1</v>
      </c>
    </row>
    <row r="578" spans="1:8" x14ac:dyDescent="0.2">
      <c r="A578" s="1" t="s">
        <v>36</v>
      </c>
      <c r="B578" s="4">
        <v>2577</v>
      </c>
      <c r="C578" s="5">
        <v>99.99</v>
      </c>
      <c r="D578" s="4">
        <v>1100</v>
      </c>
      <c r="E578" s="5">
        <v>99.99</v>
      </c>
      <c r="F578" s="4">
        <v>1445</v>
      </c>
      <c r="G578" s="5">
        <v>99.98</v>
      </c>
      <c r="H578" s="4">
        <v>2</v>
      </c>
    </row>
    <row r="579" spans="1:8" x14ac:dyDescent="0.2">
      <c r="A579" s="2" t="s">
        <v>65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66</v>
      </c>
      <c r="B580" s="4">
        <v>368</v>
      </c>
      <c r="C580" s="5">
        <v>14.28</v>
      </c>
      <c r="D580" s="4">
        <v>60</v>
      </c>
      <c r="E580" s="5">
        <v>5.45</v>
      </c>
      <c r="F580" s="4">
        <v>308</v>
      </c>
      <c r="G580" s="5">
        <v>21.31</v>
      </c>
      <c r="H580" s="4">
        <v>0</v>
      </c>
    </row>
    <row r="581" spans="1:8" x14ac:dyDescent="0.2">
      <c r="A581" s="2" t="s">
        <v>67</v>
      </c>
      <c r="B581" s="4">
        <v>111</v>
      </c>
      <c r="C581" s="5">
        <v>4.3099999999999996</v>
      </c>
      <c r="D581" s="4">
        <v>13</v>
      </c>
      <c r="E581" s="5">
        <v>1.18</v>
      </c>
      <c r="F581" s="4">
        <v>98</v>
      </c>
      <c r="G581" s="5">
        <v>6.78</v>
      </c>
      <c r="H581" s="4">
        <v>0</v>
      </c>
    </row>
    <row r="582" spans="1:8" x14ac:dyDescent="0.2">
      <c r="A582" s="2" t="s">
        <v>68</v>
      </c>
      <c r="B582" s="4">
        <v>2</v>
      </c>
      <c r="C582" s="5">
        <v>0.08</v>
      </c>
      <c r="D582" s="4">
        <v>0</v>
      </c>
      <c r="E582" s="5">
        <v>0</v>
      </c>
      <c r="F582" s="4">
        <v>2</v>
      </c>
      <c r="G582" s="5">
        <v>0.14000000000000001</v>
      </c>
      <c r="H582" s="4">
        <v>0</v>
      </c>
    </row>
    <row r="583" spans="1:8" x14ac:dyDescent="0.2">
      <c r="A583" s="2" t="s">
        <v>69</v>
      </c>
      <c r="B583" s="4">
        <v>64</v>
      </c>
      <c r="C583" s="5">
        <v>2.48</v>
      </c>
      <c r="D583" s="4">
        <v>5</v>
      </c>
      <c r="E583" s="5">
        <v>0.45</v>
      </c>
      <c r="F583" s="4">
        <v>59</v>
      </c>
      <c r="G583" s="5">
        <v>4.08</v>
      </c>
      <c r="H583" s="4">
        <v>0</v>
      </c>
    </row>
    <row r="584" spans="1:8" x14ac:dyDescent="0.2">
      <c r="A584" s="2" t="s">
        <v>70</v>
      </c>
      <c r="B584" s="4">
        <v>15</v>
      </c>
      <c r="C584" s="5">
        <v>0.57999999999999996</v>
      </c>
      <c r="D584" s="4">
        <v>4</v>
      </c>
      <c r="E584" s="5">
        <v>0.36</v>
      </c>
      <c r="F584" s="4">
        <v>11</v>
      </c>
      <c r="G584" s="5">
        <v>0.76</v>
      </c>
      <c r="H584" s="4">
        <v>0</v>
      </c>
    </row>
    <row r="585" spans="1:8" x14ac:dyDescent="0.2">
      <c r="A585" s="2" t="s">
        <v>71</v>
      </c>
      <c r="B585" s="4">
        <v>498</v>
      </c>
      <c r="C585" s="5">
        <v>19.32</v>
      </c>
      <c r="D585" s="4">
        <v>216</v>
      </c>
      <c r="E585" s="5">
        <v>19.64</v>
      </c>
      <c r="F585" s="4">
        <v>282</v>
      </c>
      <c r="G585" s="5">
        <v>19.52</v>
      </c>
      <c r="H585" s="4">
        <v>0</v>
      </c>
    </row>
    <row r="586" spans="1:8" x14ac:dyDescent="0.2">
      <c r="A586" s="2" t="s">
        <v>72</v>
      </c>
      <c r="B586" s="4">
        <v>22</v>
      </c>
      <c r="C586" s="5">
        <v>0.85</v>
      </c>
      <c r="D586" s="4">
        <v>1</v>
      </c>
      <c r="E586" s="5">
        <v>0.09</v>
      </c>
      <c r="F586" s="4">
        <v>21</v>
      </c>
      <c r="G586" s="5">
        <v>1.45</v>
      </c>
      <c r="H586" s="4">
        <v>0</v>
      </c>
    </row>
    <row r="587" spans="1:8" x14ac:dyDescent="0.2">
      <c r="A587" s="2" t="s">
        <v>73</v>
      </c>
      <c r="B587" s="4">
        <v>334</v>
      </c>
      <c r="C587" s="5">
        <v>12.96</v>
      </c>
      <c r="D587" s="4">
        <v>90</v>
      </c>
      <c r="E587" s="5">
        <v>8.18</v>
      </c>
      <c r="F587" s="4">
        <v>244</v>
      </c>
      <c r="G587" s="5">
        <v>16.89</v>
      </c>
      <c r="H587" s="4">
        <v>0</v>
      </c>
    </row>
    <row r="588" spans="1:8" x14ac:dyDescent="0.2">
      <c r="A588" s="2" t="s">
        <v>74</v>
      </c>
      <c r="B588" s="4">
        <v>195</v>
      </c>
      <c r="C588" s="5">
        <v>7.57</v>
      </c>
      <c r="D588" s="4">
        <v>67</v>
      </c>
      <c r="E588" s="5">
        <v>6.09</v>
      </c>
      <c r="F588" s="4">
        <v>126</v>
      </c>
      <c r="G588" s="5">
        <v>8.7200000000000006</v>
      </c>
      <c r="H588" s="4">
        <v>1</v>
      </c>
    </row>
    <row r="589" spans="1:8" x14ac:dyDescent="0.2">
      <c r="A589" s="2" t="s">
        <v>75</v>
      </c>
      <c r="B589" s="4">
        <v>263</v>
      </c>
      <c r="C589" s="5">
        <v>10.210000000000001</v>
      </c>
      <c r="D589" s="4">
        <v>204</v>
      </c>
      <c r="E589" s="5">
        <v>18.55</v>
      </c>
      <c r="F589" s="4">
        <v>58</v>
      </c>
      <c r="G589" s="5">
        <v>4.01</v>
      </c>
      <c r="H589" s="4">
        <v>1</v>
      </c>
    </row>
    <row r="590" spans="1:8" x14ac:dyDescent="0.2">
      <c r="A590" s="2" t="s">
        <v>76</v>
      </c>
      <c r="B590" s="4">
        <v>314</v>
      </c>
      <c r="C590" s="5">
        <v>12.18</v>
      </c>
      <c r="D590" s="4">
        <v>213</v>
      </c>
      <c r="E590" s="5">
        <v>19.36</v>
      </c>
      <c r="F590" s="4">
        <v>101</v>
      </c>
      <c r="G590" s="5">
        <v>6.99</v>
      </c>
      <c r="H590" s="4">
        <v>0</v>
      </c>
    </row>
    <row r="591" spans="1:8" x14ac:dyDescent="0.2">
      <c r="A591" s="2" t="s">
        <v>77</v>
      </c>
      <c r="B591" s="4">
        <v>144</v>
      </c>
      <c r="C591" s="5">
        <v>5.59</v>
      </c>
      <c r="D591" s="4">
        <v>108</v>
      </c>
      <c r="E591" s="5">
        <v>9.82</v>
      </c>
      <c r="F591" s="4">
        <v>33</v>
      </c>
      <c r="G591" s="5">
        <v>2.2799999999999998</v>
      </c>
      <c r="H591" s="4">
        <v>0</v>
      </c>
    </row>
    <row r="592" spans="1:8" x14ac:dyDescent="0.2">
      <c r="A592" s="2" t="s">
        <v>78</v>
      </c>
      <c r="B592" s="4">
        <v>158</v>
      </c>
      <c r="C592" s="5">
        <v>6.13</v>
      </c>
      <c r="D592" s="4">
        <v>106</v>
      </c>
      <c r="E592" s="5">
        <v>9.64</v>
      </c>
      <c r="F592" s="4">
        <v>45</v>
      </c>
      <c r="G592" s="5">
        <v>3.11</v>
      </c>
      <c r="H592" s="4">
        <v>0</v>
      </c>
    </row>
    <row r="593" spans="1:8" x14ac:dyDescent="0.2">
      <c r="A593" s="2" t="s">
        <v>79</v>
      </c>
      <c r="B593" s="4">
        <v>89</v>
      </c>
      <c r="C593" s="5">
        <v>3.45</v>
      </c>
      <c r="D593" s="4">
        <v>13</v>
      </c>
      <c r="E593" s="5">
        <v>1.18</v>
      </c>
      <c r="F593" s="4">
        <v>57</v>
      </c>
      <c r="G593" s="5">
        <v>3.94</v>
      </c>
      <c r="H593" s="4">
        <v>0</v>
      </c>
    </row>
    <row r="594" spans="1:8" x14ac:dyDescent="0.2">
      <c r="A594" s="1" t="s">
        <v>37</v>
      </c>
      <c r="B594" s="4">
        <v>2535</v>
      </c>
      <c r="C594" s="5">
        <v>100.02</v>
      </c>
      <c r="D594" s="4">
        <v>1176</v>
      </c>
      <c r="E594" s="5">
        <v>100.00999999999998</v>
      </c>
      <c r="F594" s="4">
        <v>1350</v>
      </c>
      <c r="G594" s="5">
        <v>99.99</v>
      </c>
      <c r="H594" s="4">
        <v>3</v>
      </c>
    </row>
    <row r="595" spans="1:8" x14ac:dyDescent="0.2">
      <c r="A595" s="2" t="s">
        <v>65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66</v>
      </c>
      <c r="B596" s="4">
        <v>308</v>
      </c>
      <c r="C596" s="5">
        <v>12.15</v>
      </c>
      <c r="D596" s="4">
        <v>68</v>
      </c>
      <c r="E596" s="5">
        <v>5.78</v>
      </c>
      <c r="F596" s="4">
        <v>240</v>
      </c>
      <c r="G596" s="5">
        <v>17.78</v>
      </c>
      <c r="H596" s="4">
        <v>0</v>
      </c>
    </row>
    <row r="597" spans="1:8" x14ac:dyDescent="0.2">
      <c r="A597" s="2" t="s">
        <v>67</v>
      </c>
      <c r="B597" s="4">
        <v>110</v>
      </c>
      <c r="C597" s="5">
        <v>4.34</v>
      </c>
      <c r="D597" s="4">
        <v>22</v>
      </c>
      <c r="E597" s="5">
        <v>1.87</v>
      </c>
      <c r="F597" s="4">
        <v>88</v>
      </c>
      <c r="G597" s="5">
        <v>6.52</v>
      </c>
      <c r="H597" s="4">
        <v>0</v>
      </c>
    </row>
    <row r="598" spans="1:8" x14ac:dyDescent="0.2">
      <c r="A598" s="2" t="s">
        <v>68</v>
      </c>
      <c r="B598" s="4">
        <v>3</v>
      </c>
      <c r="C598" s="5">
        <v>0.12</v>
      </c>
      <c r="D598" s="4">
        <v>0</v>
      </c>
      <c r="E598" s="5">
        <v>0</v>
      </c>
      <c r="F598" s="4">
        <v>3</v>
      </c>
      <c r="G598" s="5">
        <v>0.22</v>
      </c>
      <c r="H598" s="4">
        <v>0</v>
      </c>
    </row>
    <row r="599" spans="1:8" x14ac:dyDescent="0.2">
      <c r="A599" s="2" t="s">
        <v>69</v>
      </c>
      <c r="B599" s="4">
        <v>72</v>
      </c>
      <c r="C599" s="5">
        <v>2.84</v>
      </c>
      <c r="D599" s="4">
        <v>4</v>
      </c>
      <c r="E599" s="5">
        <v>0.34</v>
      </c>
      <c r="F599" s="4">
        <v>68</v>
      </c>
      <c r="G599" s="5">
        <v>5.04</v>
      </c>
      <c r="H599" s="4">
        <v>0</v>
      </c>
    </row>
    <row r="600" spans="1:8" x14ac:dyDescent="0.2">
      <c r="A600" s="2" t="s">
        <v>70</v>
      </c>
      <c r="B600" s="4">
        <v>27</v>
      </c>
      <c r="C600" s="5">
        <v>1.07</v>
      </c>
      <c r="D600" s="4">
        <v>15</v>
      </c>
      <c r="E600" s="5">
        <v>1.28</v>
      </c>
      <c r="F600" s="4">
        <v>12</v>
      </c>
      <c r="G600" s="5">
        <v>0.89</v>
      </c>
      <c r="H600" s="4">
        <v>0</v>
      </c>
    </row>
    <row r="601" spans="1:8" x14ac:dyDescent="0.2">
      <c r="A601" s="2" t="s">
        <v>71</v>
      </c>
      <c r="B601" s="4">
        <v>403</v>
      </c>
      <c r="C601" s="5">
        <v>15.9</v>
      </c>
      <c r="D601" s="4">
        <v>143</v>
      </c>
      <c r="E601" s="5">
        <v>12.16</v>
      </c>
      <c r="F601" s="4">
        <v>258</v>
      </c>
      <c r="G601" s="5">
        <v>19.11</v>
      </c>
      <c r="H601" s="4">
        <v>2</v>
      </c>
    </row>
    <row r="602" spans="1:8" x14ac:dyDescent="0.2">
      <c r="A602" s="2" t="s">
        <v>72</v>
      </c>
      <c r="B602" s="4">
        <v>23</v>
      </c>
      <c r="C602" s="5">
        <v>0.91</v>
      </c>
      <c r="D602" s="4">
        <v>3</v>
      </c>
      <c r="E602" s="5">
        <v>0.26</v>
      </c>
      <c r="F602" s="4">
        <v>20</v>
      </c>
      <c r="G602" s="5">
        <v>1.48</v>
      </c>
      <c r="H602" s="4">
        <v>0</v>
      </c>
    </row>
    <row r="603" spans="1:8" x14ac:dyDescent="0.2">
      <c r="A603" s="2" t="s">
        <v>73</v>
      </c>
      <c r="B603" s="4">
        <v>436</v>
      </c>
      <c r="C603" s="5">
        <v>17.2</v>
      </c>
      <c r="D603" s="4">
        <v>213</v>
      </c>
      <c r="E603" s="5">
        <v>18.11</v>
      </c>
      <c r="F603" s="4">
        <v>223</v>
      </c>
      <c r="G603" s="5">
        <v>16.52</v>
      </c>
      <c r="H603" s="4">
        <v>0</v>
      </c>
    </row>
    <row r="604" spans="1:8" x14ac:dyDescent="0.2">
      <c r="A604" s="2" t="s">
        <v>74</v>
      </c>
      <c r="B604" s="4">
        <v>218</v>
      </c>
      <c r="C604" s="5">
        <v>8.6</v>
      </c>
      <c r="D604" s="4">
        <v>91</v>
      </c>
      <c r="E604" s="5">
        <v>7.74</v>
      </c>
      <c r="F604" s="4">
        <v>127</v>
      </c>
      <c r="G604" s="5">
        <v>9.41</v>
      </c>
      <c r="H604" s="4">
        <v>0</v>
      </c>
    </row>
    <row r="605" spans="1:8" x14ac:dyDescent="0.2">
      <c r="A605" s="2" t="s">
        <v>75</v>
      </c>
      <c r="B605" s="4">
        <v>226</v>
      </c>
      <c r="C605" s="5">
        <v>8.92</v>
      </c>
      <c r="D605" s="4">
        <v>165</v>
      </c>
      <c r="E605" s="5">
        <v>14.03</v>
      </c>
      <c r="F605" s="4">
        <v>60</v>
      </c>
      <c r="G605" s="5">
        <v>4.4400000000000004</v>
      </c>
      <c r="H605" s="4">
        <v>1</v>
      </c>
    </row>
    <row r="606" spans="1:8" x14ac:dyDescent="0.2">
      <c r="A606" s="2" t="s">
        <v>76</v>
      </c>
      <c r="B606" s="4">
        <v>276</v>
      </c>
      <c r="C606" s="5">
        <v>10.89</v>
      </c>
      <c r="D606" s="4">
        <v>194</v>
      </c>
      <c r="E606" s="5">
        <v>16.5</v>
      </c>
      <c r="F606" s="4">
        <v>82</v>
      </c>
      <c r="G606" s="5">
        <v>6.07</v>
      </c>
      <c r="H606" s="4">
        <v>0</v>
      </c>
    </row>
    <row r="607" spans="1:8" x14ac:dyDescent="0.2">
      <c r="A607" s="2" t="s">
        <v>77</v>
      </c>
      <c r="B607" s="4">
        <v>170</v>
      </c>
      <c r="C607" s="5">
        <v>6.71</v>
      </c>
      <c r="D607" s="4">
        <v>127</v>
      </c>
      <c r="E607" s="5">
        <v>10.8</v>
      </c>
      <c r="F607" s="4">
        <v>38</v>
      </c>
      <c r="G607" s="5">
        <v>2.81</v>
      </c>
      <c r="H607" s="4">
        <v>0</v>
      </c>
    </row>
    <row r="608" spans="1:8" x14ac:dyDescent="0.2">
      <c r="A608" s="2" t="s">
        <v>78</v>
      </c>
      <c r="B608" s="4">
        <v>174</v>
      </c>
      <c r="C608" s="5">
        <v>6.86</v>
      </c>
      <c r="D608" s="4">
        <v>108</v>
      </c>
      <c r="E608" s="5">
        <v>9.18</v>
      </c>
      <c r="F608" s="4">
        <v>65</v>
      </c>
      <c r="G608" s="5">
        <v>4.8099999999999996</v>
      </c>
      <c r="H608" s="4">
        <v>0</v>
      </c>
    </row>
    <row r="609" spans="1:8" x14ac:dyDescent="0.2">
      <c r="A609" s="2" t="s">
        <v>79</v>
      </c>
      <c r="B609" s="4">
        <v>89</v>
      </c>
      <c r="C609" s="5">
        <v>3.51</v>
      </c>
      <c r="D609" s="4">
        <v>23</v>
      </c>
      <c r="E609" s="5">
        <v>1.96</v>
      </c>
      <c r="F609" s="4">
        <v>66</v>
      </c>
      <c r="G609" s="5">
        <v>4.8899999999999997</v>
      </c>
      <c r="H609" s="4">
        <v>0</v>
      </c>
    </row>
    <row r="610" spans="1:8" x14ac:dyDescent="0.2">
      <c r="A610" s="1" t="s">
        <v>38</v>
      </c>
      <c r="B610" s="4">
        <v>2151</v>
      </c>
      <c r="C610" s="5">
        <v>99.990000000000009</v>
      </c>
      <c r="D610" s="4">
        <v>944</v>
      </c>
      <c r="E610" s="5">
        <v>100.02</v>
      </c>
      <c r="F610" s="4">
        <v>1203</v>
      </c>
      <c r="G610" s="5">
        <v>100.00999999999999</v>
      </c>
      <c r="H610" s="4">
        <v>0</v>
      </c>
    </row>
    <row r="611" spans="1:8" x14ac:dyDescent="0.2">
      <c r="A611" s="2" t="s">
        <v>65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66</v>
      </c>
      <c r="B612" s="4">
        <v>344</v>
      </c>
      <c r="C612" s="5">
        <v>15.99</v>
      </c>
      <c r="D612" s="4">
        <v>54</v>
      </c>
      <c r="E612" s="5">
        <v>5.72</v>
      </c>
      <c r="F612" s="4">
        <v>290</v>
      </c>
      <c r="G612" s="5">
        <v>24.11</v>
      </c>
      <c r="H612" s="4">
        <v>0</v>
      </c>
    </row>
    <row r="613" spans="1:8" x14ac:dyDescent="0.2">
      <c r="A613" s="2" t="s">
        <v>67</v>
      </c>
      <c r="B613" s="4">
        <v>133</v>
      </c>
      <c r="C613" s="5">
        <v>6.18</v>
      </c>
      <c r="D613" s="4">
        <v>30</v>
      </c>
      <c r="E613" s="5">
        <v>3.18</v>
      </c>
      <c r="F613" s="4">
        <v>103</v>
      </c>
      <c r="G613" s="5">
        <v>8.56</v>
      </c>
      <c r="H613" s="4">
        <v>0</v>
      </c>
    </row>
    <row r="614" spans="1:8" x14ac:dyDescent="0.2">
      <c r="A614" s="2" t="s">
        <v>68</v>
      </c>
      <c r="B614" s="4">
        <v>5</v>
      </c>
      <c r="C614" s="5">
        <v>0.23</v>
      </c>
      <c r="D614" s="4">
        <v>0</v>
      </c>
      <c r="E614" s="5">
        <v>0</v>
      </c>
      <c r="F614" s="4">
        <v>5</v>
      </c>
      <c r="G614" s="5">
        <v>0.42</v>
      </c>
      <c r="H614" s="4">
        <v>0</v>
      </c>
    </row>
    <row r="615" spans="1:8" x14ac:dyDescent="0.2">
      <c r="A615" s="2" t="s">
        <v>69</v>
      </c>
      <c r="B615" s="4">
        <v>39</v>
      </c>
      <c r="C615" s="5">
        <v>1.81</v>
      </c>
      <c r="D615" s="4">
        <v>2</v>
      </c>
      <c r="E615" s="5">
        <v>0.21</v>
      </c>
      <c r="F615" s="4">
        <v>37</v>
      </c>
      <c r="G615" s="5">
        <v>3.08</v>
      </c>
      <c r="H615" s="4">
        <v>0</v>
      </c>
    </row>
    <row r="616" spans="1:8" x14ac:dyDescent="0.2">
      <c r="A616" s="2" t="s">
        <v>70</v>
      </c>
      <c r="B616" s="4">
        <v>20</v>
      </c>
      <c r="C616" s="5">
        <v>0.93</v>
      </c>
      <c r="D616" s="4">
        <v>4</v>
      </c>
      <c r="E616" s="5">
        <v>0.42</v>
      </c>
      <c r="F616" s="4">
        <v>16</v>
      </c>
      <c r="G616" s="5">
        <v>1.33</v>
      </c>
      <c r="H616" s="4">
        <v>0</v>
      </c>
    </row>
    <row r="617" spans="1:8" x14ac:dyDescent="0.2">
      <c r="A617" s="2" t="s">
        <v>71</v>
      </c>
      <c r="B617" s="4">
        <v>389</v>
      </c>
      <c r="C617" s="5">
        <v>18.079999999999998</v>
      </c>
      <c r="D617" s="4">
        <v>180</v>
      </c>
      <c r="E617" s="5">
        <v>19.07</v>
      </c>
      <c r="F617" s="4">
        <v>208</v>
      </c>
      <c r="G617" s="5">
        <v>17.29</v>
      </c>
      <c r="H617" s="4">
        <v>0</v>
      </c>
    </row>
    <row r="618" spans="1:8" x14ac:dyDescent="0.2">
      <c r="A618" s="2" t="s">
        <v>72</v>
      </c>
      <c r="B618" s="4">
        <v>12</v>
      </c>
      <c r="C618" s="5">
        <v>0.56000000000000005</v>
      </c>
      <c r="D618" s="4">
        <v>3</v>
      </c>
      <c r="E618" s="5">
        <v>0.32</v>
      </c>
      <c r="F618" s="4">
        <v>9</v>
      </c>
      <c r="G618" s="5">
        <v>0.75</v>
      </c>
      <c r="H618" s="4">
        <v>0</v>
      </c>
    </row>
    <row r="619" spans="1:8" x14ac:dyDescent="0.2">
      <c r="A619" s="2" t="s">
        <v>73</v>
      </c>
      <c r="B619" s="4">
        <v>235</v>
      </c>
      <c r="C619" s="5">
        <v>10.93</v>
      </c>
      <c r="D619" s="4">
        <v>44</v>
      </c>
      <c r="E619" s="5">
        <v>4.66</v>
      </c>
      <c r="F619" s="4">
        <v>191</v>
      </c>
      <c r="G619" s="5">
        <v>15.88</v>
      </c>
      <c r="H619" s="4">
        <v>0</v>
      </c>
    </row>
    <row r="620" spans="1:8" x14ac:dyDescent="0.2">
      <c r="A620" s="2" t="s">
        <v>74</v>
      </c>
      <c r="B620" s="4">
        <v>145</v>
      </c>
      <c r="C620" s="5">
        <v>6.74</v>
      </c>
      <c r="D620" s="4">
        <v>55</v>
      </c>
      <c r="E620" s="5">
        <v>5.83</v>
      </c>
      <c r="F620" s="4">
        <v>90</v>
      </c>
      <c r="G620" s="5">
        <v>7.48</v>
      </c>
      <c r="H620" s="4">
        <v>0</v>
      </c>
    </row>
    <row r="621" spans="1:8" x14ac:dyDescent="0.2">
      <c r="A621" s="2" t="s">
        <v>75</v>
      </c>
      <c r="B621" s="4">
        <v>274</v>
      </c>
      <c r="C621" s="5">
        <v>12.74</v>
      </c>
      <c r="D621" s="4">
        <v>210</v>
      </c>
      <c r="E621" s="5">
        <v>22.25</v>
      </c>
      <c r="F621" s="4">
        <v>64</v>
      </c>
      <c r="G621" s="5">
        <v>5.32</v>
      </c>
      <c r="H621" s="4">
        <v>0</v>
      </c>
    </row>
    <row r="622" spans="1:8" x14ac:dyDescent="0.2">
      <c r="A622" s="2" t="s">
        <v>76</v>
      </c>
      <c r="B622" s="4">
        <v>268</v>
      </c>
      <c r="C622" s="5">
        <v>12.46</v>
      </c>
      <c r="D622" s="4">
        <v>190</v>
      </c>
      <c r="E622" s="5">
        <v>20.13</v>
      </c>
      <c r="F622" s="4">
        <v>77</v>
      </c>
      <c r="G622" s="5">
        <v>6.4</v>
      </c>
      <c r="H622" s="4">
        <v>0</v>
      </c>
    </row>
    <row r="623" spans="1:8" x14ac:dyDescent="0.2">
      <c r="A623" s="2" t="s">
        <v>77</v>
      </c>
      <c r="B623" s="4">
        <v>91</v>
      </c>
      <c r="C623" s="5">
        <v>4.2300000000000004</v>
      </c>
      <c r="D623" s="4">
        <v>70</v>
      </c>
      <c r="E623" s="5">
        <v>7.42</v>
      </c>
      <c r="F623" s="4">
        <v>21</v>
      </c>
      <c r="G623" s="5">
        <v>1.75</v>
      </c>
      <c r="H623" s="4">
        <v>0</v>
      </c>
    </row>
    <row r="624" spans="1:8" x14ac:dyDescent="0.2">
      <c r="A624" s="2" t="s">
        <v>78</v>
      </c>
      <c r="B624" s="4">
        <v>129</v>
      </c>
      <c r="C624" s="5">
        <v>6</v>
      </c>
      <c r="D624" s="4">
        <v>84</v>
      </c>
      <c r="E624" s="5">
        <v>8.9</v>
      </c>
      <c r="F624" s="4">
        <v>43</v>
      </c>
      <c r="G624" s="5">
        <v>3.57</v>
      </c>
      <c r="H624" s="4">
        <v>0</v>
      </c>
    </row>
    <row r="625" spans="1:8" x14ac:dyDescent="0.2">
      <c r="A625" s="2" t="s">
        <v>79</v>
      </c>
      <c r="B625" s="4">
        <v>67</v>
      </c>
      <c r="C625" s="5">
        <v>3.11</v>
      </c>
      <c r="D625" s="4">
        <v>18</v>
      </c>
      <c r="E625" s="5">
        <v>1.91</v>
      </c>
      <c r="F625" s="4">
        <v>49</v>
      </c>
      <c r="G625" s="5">
        <v>4.07</v>
      </c>
      <c r="H625" s="4">
        <v>0</v>
      </c>
    </row>
    <row r="626" spans="1:8" x14ac:dyDescent="0.2">
      <c r="A626" s="1" t="s">
        <v>39</v>
      </c>
      <c r="B626" s="4">
        <v>1918</v>
      </c>
      <c r="C626" s="5">
        <v>100</v>
      </c>
      <c r="D626" s="4">
        <v>709</v>
      </c>
      <c r="E626" s="5">
        <v>99.97999999999999</v>
      </c>
      <c r="F626" s="4">
        <v>1200</v>
      </c>
      <c r="G626" s="5">
        <v>100</v>
      </c>
      <c r="H626" s="4">
        <v>3</v>
      </c>
    </row>
    <row r="627" spans="1:8" x14ac:dyDescent="0.2">
      <c r="A627" s="2" t="s">
        <v>65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66</v>
      </c>
      <c r="B628" s="4">
        <v>178</v>
      </c>
      <c r="C628" s="5">
        <v>9.2799999999999994</v>
      </c>
      <c r="D628" s="4">
        <v>32</v>
      </c>
      <c r="E628" s="5">
        <v>4.51</v>
      </c>
      <c r="F628" s="4">
        <v>146</v>
      </c>
      <c r="G628" s="5">
        <v>12.17</v>
      </c>
      <c r="H628" s="4">
        <v>0</v>
      </c>
    </row>
    <row r="629" spans="1:8" x14ac:dyDescent="0.2">
      <c r="A629" s="2" t="s">
        <v>67</v>
      </c>
      <c r="B629" s="4">
        <v>76</v>
      </c>
      <c r="C629" s="5">
        <v>3.96</v>
      </c>
      <c r="D629" s="4">
        <v>10</v>
      </c>
      <c r="E629" s="5">
        <v>1.41</v>
      </c>
      <c r="F629" s="4">
        <v>66</v>
      </c>
      <c r="G629" s="5">
        <v>5.5</v>
      </c>
      <c r="H629" s="4">
        <v>0</v>
      </c>
    </row>
    <row r="630" spans="1:8" x14ac:dyDescent="0.2">
      <c r="A630" s="2" t="s">
        <v>68</v>
      </c>
      <c r="B630" s="4">
        <v>2</v>
      </c>
      <c r="C630" s="5">
        <v>0.1</v>
      </c>
      <c r="D630" s="4">
        <v>0</v>
      </c>
      <c r="E630" s="5">
        <v>0</v>
      </c>
      <c r="F630" s="4">
        <v>2</v>
      </c>
      <c r="G630" s="5">
        <v>0.17</v>
      </c>
      <c r="H630" s="4">
        <v>0</v>
      </c>
    </row>
    <row r="631" spans="1:8" x14ac:dyDescent="0.2">
      <c r="A631" s="2" t="s">
        <v>69</v>
      </c>
      <c r="B631" s="4">
        <v>59</v>
      </c>
      <c r="C631" s="5">
        <v>3.08</v>
      </c>
      <c r="D631" s="4">
        <v>4</v>
      </c>
      <c r="E631" s="5">
        <v>0.56000000000000005</v>
      </c>
      <c r="F631" s="4">
        <v>55</v>
      </c>
      <c r="G631" s="5">
        <v>4.58</v>
      </c>
      <c r="H631" s="4">
        <v>0</v>
      </c>
    </row>
    <row r="632" spans="1:8" x14ac:dyDescent="0.2">
      <c r="A632" s="2" t="s">
        <v>70</v>
      </c>
      <c r="B632" s="4">
        <v>9</v>
      </c>
      <c r="C632" s="5">
        <v>0.47</v>
      </c>
      <c r="D632" s="4">
        <v>3</v>
      </c>
      <c r="E632" s="5">
        <v>0.42</v>
      </c>
      <c r="F632" s="4">
        <v>6</v>
      </c>
      <c r="G632" s="5">
        <v>0.5</v>
      </c>
      <c r="H632" s="4">
        <v>0</v>
      </c>
    </row>
    <row r="633" spans="1:8" x14ac:dyDescent="0.2">
      <c r="A633" s="2" t="s">
        <v>71</v>
      </c>
      <c r="B633" s="4">
        <v>370</v>
      </c>
      <c r="C633" s="5">
        <v>19.29</v>
      </c>
      <c r="D633" s="4">
        <v>104</v>
      </c>
      <c r="E633" s="5">
        <v>14.67</v>
      </c>
      <c r="F633" s="4">
        <v>266</v>
      </c>
      <c r="G633" s="5">
        <v>22.17</v>
      </c>
      <c r="H633" s="4">
        <v>0</v>
      </c>
    </row>
    <row r="634" spans="1:8" x14ac:dyDescent="0.2">
      <c r="A634" s="2" t="s">
        <v>72</v>
      </c>
      <c r="B634" s="4">
        <v>10</v>
      </c>
      <c r="C634" s="5">
        <v>0.52</v>
      </c>
      <c r="D634" s="4">
        <v>1</v>
      </c>
      <c r="E634" s="5">
        <v>0.14000000000000001</v>
      </c>
      <c r="F634" s="4">
        <v>9</v>
      </c>
      <c r="G634" s="5">
        <v>0.75</v>
      </c>
      <c r="H634" s="4">
        <v>0</v>
      </c>
    </row>
    <row r="635" spans="1:8" x14ac:dyDescent="0.2">
      <c r="A635" s="2" t="s">
        <v>73</v>
      </c>
      <c r="B635" s="4">
        <v>290</v>
      </c>
      <c r="C635" s="5">
        <v>15.12</v>
      </c>
      <c r="D635" s="4">
        <v>25</v>
      </c>
      <c r="E635" s="5">
        <v>3.53</v>
      </c>
      <c r="F635" s="4">
        <v>265</v>
      </c>
      <c r="G635" s="5">
        <v>22.08</v>
      </c>
      <c r="H635" s="4">
        <v>0</v>
      </c>
    </row>
    <row r="636" spans="1:8" x14ac:dyDescent="0.2">
      <c r="A636" s="2" t="s">
        <v>74</v>
      </c>
      <c r="B636" s="4">
        <v>166</v>
      </c>
      <c r="C636" s="5">
        <v>8.65</v>
      </c>
      <c r="D636" s="4">
        <v>61</v>
      </c>
      <c r="E636" s="5">
        <v>8.6</v>
      </c>
      <c r="F636" s="4">
        <v>105</v>
      </c>
      <c r="G636" s="5">
        <v>8.75</v>
      </c>
      <c r="H636" s="4">
        <v>0</v>
      </c>
    </row>
    <row r="637" spans="1:8" x14ac:dyDescent="0.2">
      <c r="A637" s="2" t="s">
        <v>75</v>
      </c>
      <c r="B637" s="4">
        <v>227</v>
      </c>
      <c r="C637" s="5">
        <v>11.84</v>
      </c>
      <c r="D637" s="4">
        <v>163</v>
      </c>
      <c r="E637" s="5">
        <v>22.99</v>
      </c>
      <c r="F637" s="4">
        <v>64</v>
      </c>
      <c r="G637" s="5">
        <v>5.33</v>
      </c>
      <c r="H637" s="4">
        <v>0</v>
      </c>
    </row>
    <row r="638" spans="1:8" x14ac:dyDescent="0.2">
      <c r="A638" s="2" t="s">
        <v>76</v>
      </c>
      <c r="B638" s="4">
        <v>212</v>
      </c>
      <c r="C638" s="5">
        <v>11.05</v>
      </c>
      <c r="D638" s="4">
        <v>125</v>
      </c>
      <c r="E638" s="5">
        <v>17.63</v>
      </c>
      <c r="F638" s="4">
        <v>85</v>
      </c>
      <c r="G638" s="5">
        <v>7.08</v>
      </c>
      <c r="H638" s="4">
        <v>2</v>
      </c>
    </row>
    <row r="639" spans="1:8" x14ac:dyDescent="0.2">
      <c r="A639" s="2" t="s">
        <v>77</v>
      </c>
      <c r="B639" s="4">
        <v>120</v>
      </c>
      <c r="C639" s="5">
        <v>6.26</v>
      </c>
      <c r="D639" s="4">
        <v>80</v>
      </c>
      <c r="E639" s="5">
        <v>11.28</v>
      </c>
      <c r="F639" s="4">
        <v>35</v>
      </c>
      <c r="G639" s="5">
        <v>2.92</v>
      </c>
      <c r="H639" s="4">
        <v>1</v>
      </c>
    </row>
    <row r="640" spans="1:8" x14ac:dyDescent="0.2">
      <c r="A640" s="2" t="s">
        <v>78</v>
      </c>
      <c r="B640" s="4">
        <v>144</v>
      </c>
      <c r="C640" s="5">
        <v>7.51</v>
      </c>
      <c r="D640" s="4">
        <v>90</v>
      </c>
      <c r="E640" s="5">
        <v>12.69</v>
      </c>
      <c r="F640" s="4">
        <v>52</v>
      </c>
      <c r="G640" s="5">
        <v>4.33</v>
      </c>
      <c r="H640" s="4">
        <v>0</v>
      </c>
    </row>
    <row r="641" spans="1:8" x14ac:dyDescent="0.2">
      <c r="A641" s="2" t="s">
        <v>79</v>
      </c>
      <c r="B641" s="4">
        <v>55</v>
      </c>
      <c r="C641" s="5">
        <v>2.87</v>
      </c>
      <c r="D641" s="4">
        <v>11</v>
      </c>
      <c r="E641" s="5">
        <v>1.55</v>
      </c>
      <c r="F641" s="4">
        <v>44</v>
      </c>
      <c r="G641" s="5">
        <v>3.67</v>
      </c>
      <c r="H641" s="4">
        <v>0</v>
      </c>
    </row>
    <row r="642" spans="1:8" x14ac:dyDescent="0.2">
      <c r="A642" s="1" t="s">
        <v>40</v>
      </c>
      <c r="B642" s="4">
        <v>1538</v>
      </c>
      <c r="C642" s="5">
        <v>100</v>
      </c>
      <c r="D642" s="4">
        <v>654</v>
      </c>
      <c r="E642" s="5">
        <v>99.980000000000018</v>
      </c>
      <c r="F642" s="4">
        <v>880</v>
      </c>
      <c r="G642" s="5">
        <v>99.990000000000009</v>
      </c>
      <c r="H642" s="4">
        <v>0</v>
      </c>
    </row>
    <row r="643" spans="1:8" x14ac:dyDescent="0.2">
      <c r="A643" s="2" t="s">
        <v>65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66</v>
      </c>
      <c r="B644" s="4">
        <v>132</v>
      </c>
      <c r="C644" s="5">
        <v>8.58</v>
      </c>
      <c r="D644" s="4">
        <v>15</v>
      </c>
      <c r="E644" s="5">
        <v>2.29</v>
      </c>
      <c r="F644" s="4">
        <v>117</v>
      </c>
      <c r="G644" s="5">
        <v>13.3</v>
      </c>
      <c r="H644" s="4">
        <v>0</v>
      </c>
    </row>
    <row r="645" spans="1:8" x14ac:dyDescent="0.2">
      <c r="A645" s="2" t="s">
        <v>67</v>
      </c>
      <c r="B645" s="4">
        <v>46</v>
      </c>
      <c r="C645" s="5">
        <v>2.99</v>
      </c>
      <c r="D645" s="4">
        <v>8</v>
      </c>
      <c r="E645" s="5">
        <v>1.22</v>
      </c>
      <c r="F645" s="4">
        <v>38</v>
      </c>
      <c r="G645" s="5">
        <v>4.32</v>
      </c>
      <c r="H645" s="4">
        <v>0</v>
      </c>
    </row>
    <row r="646" spans="1:8" x14ac:dyDescent="0.2">
      <c r="A646" s="2" t="s">
        <v>68</v>
      </c>
      <c r="B646" s="4">
        <v>1</v>
      </c>
      <c r="C646" s="5">
        <v>7.0000000000000007E-2</v>
      </c>
      <c r="D646" s="4">
        <v>0</v>
      </c>
      <c r="E646" s="5">
        <v>0</v>
      </c>
      <c r="F646" s="4">
        <v>1</v>
      </c>
      <c r="G646" s="5">
        <v>0.11</v>
      </c>
      <c r="H646" s="4">
        <v>0</v>
      </c>
    </row>
    <row r="647" spans="1:8" x14ac:dyDescent="0.2">
      <c r="A647" s="2" t="s">
        <v>69</v>
      </c>
      <c r="B647" s="4">
        <v>40</v>
      </c>
      <c r="C647" s="5">
        <v>2.6</v>
      </c>
      <c r="D647" s="4">
        <v>1</v>
      </c>
      <c r="E647" s="5">
        <v>0.15</v>
      </c>
      <c r="F647" s="4">
        <v>39</v>
      </c>
      <c r="G647" s="5">
        <v>4.43</v>
      </c>
      <c r="H647" s="4">
        <v>0</v>
      </c>
    </row>
    <row r="648" spans="1:8" x14ac:dyDescent="0.2">
      <c r="A648" s="2" t="s">
        <v>70</v>
      </c>
      <c r="B648" s="4">
        <v>10</v>
      </c>
      <c r="C648" s="5">
        <v>0.65</v>
      </c>
      <c r="D648" s="4">
        <v>0</v>
      </c>
      <c r="E648" s="5">
        <v>0</v>
      </c>
      <c r="F648" s="4">
        <v>10</v>
      </c>
      <c r="G648" s="5">
        <v>1.1399999999999999</v>
      </c>
      <c r="H648" s="4">
        <v>0</v>
      </c>
    </row>
    <row r="649" spans="1:8" x14ac:dyDescent="0.2">
      <c r="A649" s="2" t="s">
        <v>71</v>
      </c>
      <c r="B649" s="4">
        <v>297</v>
      </c>
      <c r="C649" s="5">
        <v>19.309999999999999</v>
      </c>
      <c r="D649" s="4">
        <v>122</v>
      </c>
      <c r="E649" s="5">
        <v>18.649999999999999</v>
      </c>
      <c r="F649" s="4">
        <v>175</v>
      </c>
      <c r="G649" s="5">
        <v>19.89</v>
      </c>
      <c r="H649" s="4">
        <v>0</v>
      </c>
    </row>
    <row r="650" spans="1:8" x14ac:dyDescent="0.2">
      <c r="A650" s="2" t="s">
        <v>72</v>
      </c>
      <c r="B650" s="4">
        <v>5</v>
      </c>
      <c r="C650" s="5">
        <v>0.33</v>
      </c>
      <c r="D650" s="4">
        <v>1</v>
      </c>
      <c r="E650" s="5">
        <v>0.15</v>
      </c>
      <c r="F650" s="4">
        <v>4</v>
      </c>
      <c r="G650" s="5">
        <v>0.45</v>
      </c>
      <c r="H650" s="4">
        <v>0</v>
      </c>
    </row>
    <row r="651" spans="1:8" x14ac:dyDescent="0.2">
      <c r="A651" s="2" t="s">
        <v>73</v>
      </c>
      <c r="B651" s="4">
        <v>260</v>
      </c>
      <c r="C651" s="5">
        <v>16.91</v>
      </c>
      <c r="D651" s="4">
        <v>59</v>
      </c>
      <c r="E651" s="5">
        <v>9.02</v>
      </c>
      <c r="F651" s="4">
        <v>201</v>
      </c>
      <c r="G651" s="5">
        <v>22.84</v>
      </c>
      <c r="H651" s="4">
        <v>0</v>
      </c>
    </row>
    <row r="652" spans="1:8" x14ac:dyDescent="0.2">
      <c r="A652" s="2" t="s">
        <v>74</v>
      </c>
      <c r="B652" s="4">
        <v>126</v>
      </c>
      <c r="C652" s="5">
        <v>8.19</v>
      </c>
      <c r="D652" s="4">
        <v>45</v>
      </c>
      <c r="E652" s="5">
        <v>6.88</v>
      </c>
      <c r="F652" s="4">
        <v>81</v>
      </c>
      <c r="G652" s="5">
        <v>9.1999999999999993</v>
      </c>
      <c r="H652" s="4">
        <v>0</v>
      </c>
    </row>
    <row r="653" spans="1:8" x14ac:dyDescent="0.2">
      <c r="A653" s="2" t="s">
        <v>75</v>
      </c>
      <c r="B653" s="4">
        <v>180</v>
      </c>
      <c r="C653" s="5">
        <v>11.7</v>
      </c>
      <c r="D653" s="4">
        <v>132</v>
      </c>
      <c r="E653" s="5">
        <v>20.18</v>
      </c>
      <c r="F653" s="4">
        <v>48</v>
      </c>
      <c r="G653" s="5">
        <v>5.45</v>
      </c>
      <c r="H653" s="4">
        <v>0</v>
      </c>
    </row>
    <row r="654" spans="1:8" x14ac:dyDescent="0.2">
      <c r="A654" s="2" t="s">
        <v>76</v>
      </c>
      <c r="B654" s="4">
        <v>182</v>
      </c>
      <c r="C654" s="5">
        <v>11.83</v>
      </c>
      <c r="D654" s="4">
        <v>124</v>
      </c>
      <c r="E654" s="5">
        <v>18.96</v>
      </c>
      <c r="F654" s="4">
        <v>58</v>
      </c>
      <c r="G654" s="5">
        <v>6.59</v>
      </c>
      <c r="H654" s="4">
        <v>0</v>
      </c>
    </row>
    <row r="655" spans="1:8" x14ac:dyDescent="0.2">
      <c r="A655" s="2" t="s">
        <v>77</v>
      </c>
      <c r="B655" s="4">
        <v>82</v>
      </c>
      <c r="C655" s="5">
        <v>5.33</v>
      </c>
      <c r="D655" s="4">
        <v>48</v>
      </c>
      <c r="E655" s="5">
        <v>7.34</v>
      </c>
      <c r="F655" s="4">
        <v>33</v>
      </c>
      <c r="G655" s="5">
        <v>3.75</v>
      </c>
      <c r="H655" s="4">
        <v>0</v>
      </c>
    </row>
    <row r="656" spans="1:8" x14ac:dyDescent="0.2">
      <c r="A656" s="2" t="s">
        <v>78</v>
      </c>
      <c r="B656" s="4">
        <v>124</v>
      </c>
      <c r="C656" s="5">
        <v>8.06</v>
      </c>
      <c r="D656" s="4">
        <v>88</v>
      </c>
      <c r="E656" s="5">
        <v>13.46</v>
      </c>
      <c r="F656" s="4">
        <v>36</v>
      </c>
      <c r="G656" s="5">
        <v>4.09</v>
      </c>
      <c r="H656" s="4">
        <v>0</v>
      </c>
    </row>
    <row r="657" spans="1:8" x14ac:dyDescent="0.2">
      <c r="A657" s="2" t="s">
        <v>79</v>
      </c>
      <c r="B657" s="4">
        <v>53</v>
      </c>
      <c r="C657" s="5">
        <v>3.45</v>
      </c>
      <c r="D657" s="4">
        <v>11</v>
      </c>
      <c r="E657" s="5">
        <v>1.68</v>
      </c>
      <c r="F657" s="4">
        <v>39</v>
      </c>
      <c r="G657" s="5">
        <v>4.43</v>
      </c>
      <c r="H657" s="4">
        <v>0</v>
      </c>
    </row>
    <row r="658" spans="1:8" x14ac:dyDescent="0.2">
      <c r="A658" s="1" t="s">
        <v>41</v>
      </c>
      <c r="B658" s="4">
        <v>930</v>
      </c>
      <c r="C658" s="5">
        <v>100.01</v>
      </c>
      <c r="D658" s="4">
        <v>442</v>
      </c>
      <c r="E658" s="5">
        <v>99.99</v>
      </c>
      <c r="F658" s="4">
        <v>482</v>
      </c>
      <c r="G658" s="5">
        <v>99.98</v>
      </c>
      <c r="H658" s="4">
        <v>1</v>
      </c>
    </row>
    <row r="659" spans="1:8" x14ac:dyDescent="0.2">
      <c r="A659" s="2" t="s">
        <v>65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66</v>
      </c>
      <c r="B660" s="4">
        <v>123</v>
      </c>
      <c r="C660" s="5">
        <v>13.23</v>
      </c>
      <c r="D660" s="4">
        <v>34</v>
      </c>
      <c r="E660" s="5">
        <v>7.69</v>
      </c>
      <c r="F660" s="4">
        <v>89</v>
      </c>
      <c r="G660" s="5">
        <v>18.46</v>
      </c>
      <c r="H660" s="4">
        <v>0</v>
      </c>
    </row>
    <row r="661" spans="1:8" x14ac:dyDescent="0.2">
      <c r="A661" s="2" t="s">
        <v>67</v>
      </c>
      <c r="B661" s="4">
        <v>52</v>
      </c>
      <c r="C661" s="5">
        <v>5.59</v>
      </c>
      <c r="D661" s="4">
        <v>10</v>
      </c>
      <c r="E661" s="5">
        <v>2.2599999999999998</v>
      </c>
      <c r="F661" s="4">
        <v>42</v>
      </c>
      <c r="G661" s="5">
        <v>8.7100000000000009</v>
      </c>
      <c r="H661" s="4">
        <v>0</v>
      </c>
    </row>
    <row r="662" spans="1:8" x14ac:dyDescent="0.2">
      <c r="A662" s="2" t="s">
        <v>68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2">
      <c r="A663" s="2" t="s">
        <v>69</v>
      </c>
      <c r="B663" s="4">
        <v>8</v>
      </c>
      <c r="C663" s="5">
        <v>0.86</v>
      </c>
      <c r="D663" s="4">
        <v>2</v>
      </c>
      <c r="E663" s="5">
        <v>0.45</v>
      </c>
      <c r="F663" s="4">
        <v>6</v>
      </c>
      <c r="G663" s="5">
        <v>1.24</v>
      </c>
      <c r="H663" s="4">
        <v>0</v>
      </c>
    </row>
    <row r="664" spans="1:8" x14ac:dyDescent="0.2">
      <c r="A664" s="2" t="s">
        <v>70</v>
      </c>
      <c r="B664" s="4">
        <v>5</v>
      </c>
      <c r="C664" s="5">
        <v>0.54</v>
      </c>
      <c r="D664" s="4">
        <v>0</v>
      </c>
      <c r="E664" s="5">
        <v>0</v>
      </c>
      <c r="F664" s="4">
        <v>5</v>
      </c>
      <c r="G664" s="5">
        <v>1.04</v>
      </c>
      <c r="H664" s="4">
        <v>0</v>
      </c>
    </row>
    <row r="665" spans="1:8" x14ac:dyDescent="0.2">
      <c r="A665" s="2" t="s">
        <v>71</v>
      </c>
      <c r="B665" s="4">
        <v>218</v>
      </c>
      <c r="C665" s="5">
        <v>23.44</v>
      </c>
      <c r="D665" s="4">
        <v>85</v>
      </c>
      <c r="E665" s="5">
        <v>19.23</v>
      </c>
      <c r="F665" s="4">
        <v>133</v>
      </c>
      <c r="G665" s="5">
        <v>27.59</v>
      </c>
      <c r="H665" s="4">
        <v>0</v>
      </c>
    </row>
    <row r="666" spans="1:8" x14ac:dyDescent="0.2">
      <c r="A666" s="2" t="s">
        <v>72</v>
      </c>
      <c r="B666" s="4">
        <v>6</v>
      </c>
      <c r="C666" s="5">
        <v>0.65</v>
      </c>
      <c r="D666" s="4">
        <v>1</v>
      </c>
      <c r="E666" s="5">
        <v>0.23</v>
      </c>
      <c r="F666" s="4">
        <v>5</v>
      </c>
      <c r="G666" s="5">
        <v>1.04</v>
      </c>
      <c r="H666" s="4">
        <v>0</v>
      </c>
    </row>
    <row r="667" spans="1:8" x14ac:dyDescent="0.2">
      <c r="A667" s="2" t="s">
        <v>73</v>
      </c>
      <c r="B667" s="4">
        <v>91</v>
      </c>
      <c r="C667" s="5">
        <v>9.7799999999999994</v>
      </c>
      <c r="D667" s="4">
        <v>11</v>
      </c>
      <c r="E667" s="5">
        <v>2.4900000000000002</v>
      </c>
      <c r="F667" s="4">
        <v>80</v>
      </c>
      <c r="G667" s="5">
        <v>16.600000000000001</v>
      </c>
      <c r="H667" s="4">
        <v>0</v>
      </c>
    </row>
    <row r="668" spans="1:8" x14ac:dyDescent="0.2">
      <c r="A668" s="2" t="s">
        <v>74</v>
      </c>
      <c r="B668" s="4">
        <v>42</v>
      </c>
      <c r="C668" s="5">
        <v>4.5199999999999996</v>
      </c>
      <c r="D668" s="4">
        <v>19</v>
      </c>
      <c r="E668" s="5">
        <v>4.3</v>
      </c>
      <c r="F668" s="4">
        <v>22</v>
      </c>
      <c r="G668" s="5">
        <v>4.5599999999999996</v>
      </c>
      <c r="H668" s="4">
        <v>0</v>
      </c>
    </row>
    <row r="669" spans="1:8" x14ac:dyDescent="0.2">
      <c r="A669" s="2" t="s">
        <v>75</v>
      </c>
      <c r="B669" s="4">
        <v>147</v>
      </c>
      <c r="C669" s="5">
        <v>15.81</v>
      </c>
      <c r="D669" s="4">
        <v>126</v>
      </c>
      <c r="E669" s="5">
        <v>28.51</v>
      </c>
      <c r="F669" s="4">
        <v>21</v>
      </c>
      <c r="G669" s="5">
        <v>4.3600000000000003</v>
      </c>
      <c r="H669" s="4">
        <v>0</v>
      </c>
    </row>
    <row r="670" spans="1:8" x14ac:dyDescent="0.2">
      <c r="A670" s="2" t="s">
        <v>76</v>
      </c>
      <c r="B670" s="4">
        <v>129</v>
      </c>
      <c r="C670" s="5">
        <v>13.87</v>
      </c>
      <c r="D670" s="4">
        <v>98</v>
      </c>
      <c r="E670" s="5">
        <v>22.17</v>
      </c>
      <c r="F670" s="4">
        <v>31</v>
      </c>
      <c r="G670" s="5">
        <v>6.43</v>
      </c>
      <c r="H670" s="4">
        <v>0</v>
      </c>
    </row>
    <row r="671" spans="1:8" x14ac:dyDescent="0.2">
      <c r="A671" s="2" t="s">
        <v>77</v>
      </c>
      <c r="B671" s="4">
        <v>31</v>
      </c>
      <c r="C671" s="5">
        <v>3.33</v>
      </c>
      <c r="D671" s="4">
        <v>20</v>
      </c>
      <c r="E671" s="5">
        <v>4.5199999999999996</v>
      </c>
      <c r="F671" s="4">
        <v>7</v>
      </c>
      <c r="G671" s="5">
        <v>1.45</v>
      </c>
      <c r="H671" s="4">
        <v>0</v>
      </c>
    </row>
    <row r="672" spans="1:8" x14ac:dyDescent="0.2">
      <c r="A672" s="2" t="s">
        <v>78</v>
      </c>
      <c r="B672" s="4">
        <v>49</v>
      </c>
      <c r="C672" s="5">
        <v>5.27</v>
      </c>
      <c r="D672" s="4">
        <v>31</v>
      </c>
      <c r="E672" s="5">
        <v>7.01</v>
      </c>
      <c r="F672" s="4">
        <v>18</v>
      </c>
      <c r="G672" s="5">
        <v>3.73</v>
      </c>
      <c r="H672" s="4">
        <v>0</v>
      </c>
    </row>
    <row r="673" spans="1:8" x14ac:dyDescent="0.2">
      <c r="A673" s="2" t="s">
        <v>79</v>
      </c>
      <c r="B673" s="4">
        <v>29</v>
      </c>
      <c r="C673" s="5">
        <v>3.12</v>
      </c>
      <c r="D673" s="4">
        <v>5</v>
      </c>
      <c r="E673" s="5">
        <v>1.1299999999999999</v>
      </c>
      <c r="F673" s="4">
        <v>23</v>
      </c>
      <c r="G673" s="5">
        <v>4.7699999999999996</v>
      </c>
      <c r="H673" s="4">
        <v>1</v>
      </c>
    </row>
    <row r="674" spans="1:8" x14ac:dyDescent="0.2">
      <c r="A674" s="1" t="s">
        <v>42</v>
      </c>
      <c r="B674" s="4">
        <v>1245</v>
      </c>
      <c r="C674" s="5">
        <v>99.990000000000009</v>
      </c>
      <c r="D674" s="4">
        <v>506</v>
      </c>
      <c r="E674" s="5">
        <v>100.02</v>
      </c>
      <c r="F674" s="4">
        <v>738</v>
      </c>
      <c r="G674" s="5">
        <v>100.00999999999999</v>
      </c>
      <c r="H674" s="4">
        <v>1</v>
      </c>
    </row>
    <row r="675" spans="1:8" x14ac:dyDescent="0.2">
      <c r="A675" s="2" t="s">
        <v>65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66</v>
      </c>
      <c r="B676" s="4">
        <v>217</v>
      </c>
      <c r="C676" s="5">
        <v>17.43</v>
      </c>
      <c r="D676" s="4">
        <v>42</v>
      </c>
      <c r="E676" s="5">
        <v>8.3000000000000007</v>
      </c>
      <c r="F676" s="4">
        <v>175</v>
      </c>
      <c r="G676" s="5">
        <v>23.71</v>
      </c>
      <c r="H676" s="4">
        <v>0</v>
      </c>
    </row>
    <row r="677" spans="1:8" x14ac:dyDescent="0.2">
      <c r="A677" s="2" t="s">
        <v>67</v>
      </c>
      <c r="B677" s="4">
        <v>60</v>
      </c>
      <c r="C677" s="5">
        <v>4.82</v>
      </c>
      <c r="D677" s="4">
        <v>10</v>
      </c>
      <c r="E677" s="5">
        <v>1.98</v>
      </c>
      <c r="F677" s="4">
        <v>50</v>
      </c>
      <c r="G677" s="5">
        <v>6.78</v>
      </c>
      <c r="H677" s="4">
        <v>0</v>
      </c>
    </row>
    <row r="678" spans="1:8" x14ac:dyDescent="0.2">
      <c r="A678" s="2" t="s">
        <v>68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2">
      <c r="A679" s="2" t="s">
        <v>69</v>
      </c>
      <c r="B679" s="4">
        <v>33</v>
      </c>
      <c r="C679" s="5">
        <v>2.65</v>
      </c>
      <c r="D679" s="4">
        <v>2</v>
      </c>
      <c r="E679" s="5">
        <v>0.4</v>
      </c>
      <c r="F679" s="4">
        <v>31</v>
      </c>
      <c r="G679" s="5">
        <v>4.2</v>
      </c>
      <c r="H679" s="4">
        <v>0</v>
      </c>
    </row>
    <row r="680" spans="1:8" x14ac:dyDescent="0.2">
      <c r="A680" s="2" t="s">
        <v>70</v>
      </c>
      <c r="B680" s="4">
        <v>6</v>
      </c>
      <c r="C680" s="5">
        <v>0.48</v>
      </c>
      <c r="D680" s="4">
        <v>1</v>
      </c>
      <c r="E680" s="5">
        <v>0.2</v>
      </c>
      <c r="F680" s="4">
        <v>5</v>
      </c>
      <c r="G680" s="5">
        <v>0.68</v>
      </c>
      <c r="H680" s="4">
        <v>0</v>
      </c>
    </row>
    <row r="681" spans="1:8" x14ac:dyDescent="0.2">
      <c r="A681" s="2" t="s">
        <v>71</v>
      </c>
      <c r="B681" s="4">
        <v>227</v>
      </c>
      <c r="C681" s="5">
        <v>18.23</v>
      </c>
      <c r="D681" s="4">
        <v>89</v>
      </c>
      <c r="E681" s="5">
        <v>17.59</v>
      </c>
      <c r="F681" s="4">
        <v>138</v>
      </c>
      <c r="G681" s="5">
        <v>18.7</v>
      </c>
      <c r="H681" s="4">
        <v>0</v>
      </c>
    </row>
    <row r="682" spans="1:8" x14ac:dyDescent="0.2">
      <c r="A682" s="2" t="s">
        <v>72</v>
      </c>
      <c r="B682" s="4">
        <v>6</v>
      </c>
      <c r="C682" s="5">
        <v>0.48</v>
      </c>
      <c r="D682" s="4">
        <v>2</v>
      </c>
      <c r="E682" s="5">
        <v>0.4</v>
      </c>
      <c r="F682" s="4">
        <v>4</v>
      </c>
      <c r="G682" s="5">
        <v>0.54</v>
      </c>
      <c r="H682" s="4">
        <v>0</v>
      </c>
    </row>
    <row r="683" spans="1:8" x14ac:dyDescent="0.2">
      <c r="A683" s="2" t="s">
        <v>73</v>
      </c>
      <c r="B683" s="4">
        <v>221</v>
      </c>
      <c r="C683" s="5">
        <v>17.75</v>
      </c>
      <c r="D683" s="4">
        <v>82</v>
      </c>
      <c r="E683" s="5">
        <v>16.21</v>
      </c>
      <c r="F683" s="4">
        <v>139</v>
      </c>
      <c r="G683" s="5">
        <v>18.829999999999998</v>
      </c>
      <c r="H683" s="4">
        <v>0</v>
      </c>
    </row>
    <row r="684" spans="1:8" x14ac:dyDescent="0.2">
      <c r="A684" s="2" t="s">
        <v>74</v>
      </c>
      <c r="B684" s="4">
        <v>78</v>
      </c>
      <c r="C684" s="5">
        <v>6.27</v>
      </c>
      <c r="D684" s="4">
        <v>17</v>
      </c>
      <c r="E684" s="5">
        <v>3.36</v>
      </c>
      <c r="F684" s="4">
        <v>61</v>
      </c>
      <c r="G684" s="5">
        <v>8.27</v>
      </c>
      <c r="H684" s="4">
        <v>0</v>
      </c>
    </row>
    <row r="685" spans="1:8" x14ac:dyDescent="0.2">
      <c r="A685" s="2" t="s">
        <v>75</v>
      </c>
      <c r="B685" s="4">
        <v>135</v>
      </c>
      <c r="C685" s="5">
        <v>10.84</v>
      </c>
      <c r="D685" s="4">
        <v>101</v>
      </c>
      <c r="E685" s="5">
        <v>19.96</v>
      </c>
      <c r="F685" s="4">
        <v>34</v>
      </c>
      <c r="G685" s="5">
        <v>4.6100000000000003</v>
      </c>
      <c r="H685" s="4">
        <v>0</v>
      </c>
    </row>
    <row r="686" spans="1:8" x14ac:dyDescent="0.2">
      <c r="A686" s="2" t="s">
        <v>76</v>
      </c>
      <c r="B686" s="4">
        <v>136</v>
      </c>
      <c r="C686" s="5">
        <v>10.92</v>
      </c>
      <c r="D686" s="4">
        <v>102</v>
      </c>
      <c r="E686" s="5">
        <v>20.16</v>
      </c>
      <c r="F686" s="4">
        <v>34</v>
      </c>
      <c r="G686" s="5">
        <v>4.6100000000000003</v>
      </c>
      <c r="H686" s="4">
        <v>0</v>
      </c>
    </row>
    <row r="687" spans="1:8" x14ac:dyDescent="0.2">
      <c r="A687" s="2" t="s">
        <v>77</v>
      </c>
      <c r="B687" s="4">
        <v>35</v>
      </c>
      <c r="C687" s="5">
        <v>2.81</v>
      </c>
      <c r="D687" s="4">
        <v>16</v>
      </c>
      <c r="E687" s="5">
        <v>3.16</v>
      </c>
      <c r="F687" s="4">
        <v>19</v>
      </c>
      <c r="G687" s="5">
        <v>2.57</v>
      </c>
      <c r="H687" s="4">
        <v>0</v>
      </c>
    </row>
    <row r="688" spans="1:8" x14ac:dyDescent="0.2">
      <c r="A688" s="2" t="s">
        <v>78</v>
      </c>
      <c r="B688" s="4">
        <v>57</v>
      </c>
      <c r="C688" s="5">
        <v>4.58</v>
      </c>
      <c r="D688" s="4">
        <v>34</v>
      </c>
      <c r="E688" s="5">
        <v>6.72</v>
      </c>
      <c r="F688" s="4">
        <v>23</v>
      </c>
      <c r="G688" s="5">
        <v>3.12</v>
      </c>
      <c r="H688" s="4">
        <v>0</v>
      </c>
    </row>
    <row r="689" spans="1:8" x14ac:dyDescent="0.2">
      <c r="A689" s="2" t="s">
        <v>79</v>
      </c>
      <c r="B689" s="4">
        <v>34</v>
      </c>
      <c r="C689" s="5">
        <v>2.73</v>
      </c>
      <c r="D689" s="4">
        <v>8</v>
      </c>
      <c r="E689" s="5">
        <v>1.58</v>
      </c>
      <c r="F689" s="4">
        <v>25</v>
      </c>
      <c r="G689" s="5">
        <v>3.39</v>
      </c>
      <c r="H689" s="4">
        <v>1</v>
      </c>
    </row>
    <row r="690" spans="1:8" x14ac:dyDescent="0.2">
      <c r="A690" s="1" t="s">
        <v>43</v>
      </c>
      <c r="B690" s="4">
        <v>1469</v>
      </c>
      <c r="C690" s="5">
        <v>99.999999999999986</v>
      </c>
      <c r="D690" s="4">
        <v>611</v>
      </c>
      <c r="E690" s="5">
        <v>100</v>
      </c>
      <c r="F690" s="4">
        <v>844</v>
      </c>
      <c r="G690" s="5">
        <v>100.01000000000003</v>
      </c>
      <c r="H690" s="4">
        <v>0</v>
      </c>
    </row>
    <row r="691" spans="1:8" x14ac:dyDescent="0.2">
      <c r="A691" s="2" t="s">
        <v>65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66</v>
      </c>
      <c r="B692" s="4">
        <v>326</v>
      </c>
      <c r="C692" s="5">
        <v>22.19</v>
      </c>
      <c r="D692" s="4">
        <v>59</v>
      </c>
      <c r="E692" s="5">
        <v>9.66</v>
      </c>
      <c r="F692" s="4">
        <v>267</v>
      </c>
      <c r="G692" s="5">
        <v>31.64</v>
      </c>
      <c r="H692" s="4">
        <v>0</v>
      </c>
    </row>
    <row r="693" spans="1:8" x14ac:dyDescent="0.2">
      <c r="A693" s="2" t="s">
        <v>67</v>
      </c>
      <c r="B693" s="4">
        <v>83</v>
      </c>
      <c r="C693" s="5">
        <v>5.65</v>
      </c>
      <c r="D693" s="4">
        <v>19</v>
      </c>
      <c r="E693" s="5">
        <v>3.11</v>
      </c>
      <c r="F693" s="4">
        <v>64</v>
      </c>
      <c r="G693" s="5">
        <v>7.58</v>
      </c>
      <c r="H693" s="4">
        <v>0</v>
      </c>
    </row>
    <row r="694" spans="1:8" x14ac:dyDescent="0.2">
      <c r="A694" s="2" t="s">
        <v>68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69</v>
      </c>
      <c r="B695" s="4">
        <v>13</v>
      </c>
      <c r="C695" s="5">
        <v>0.88</v>
      </c>
      <c r="D695" s="4">
        <v>1</v>
      </c>
      <c r="E695" s="5">
        <v>0.16</v>
      </c>
      <c r="F695" s="4">
        <v>12</v>
      </c>
      <c r="G695" s="5">
        <v>1.42</v>
      </c>
      <c r="H695" s="4">
        <v>0</v>
      </c>
    </row>
    <row r="696" spans="1:8" x14ac:dyDescent="0.2">
      <c r="A696" s="2" t="s">
        <v>70</v>
      </c>
      <c r="B696" s="4">
        <v>14</v>
      </c>
      <c r="C696" s="5">
        <v>0.95</v>
      </c>
      <c r="D696" s="4">
        <v>5</v>
      </c>
      <c r="E696" s="5">
        <v>0.82</v>
      </c>
      <c r="F696" s="4">
        <v>9</v>
      </c>
      <c r="G696" s="5">
        <v>1.07</v>
      </c>
      <c r="H696" s="4">
        <v>0</v>
      </c>
    </row>
    <row r="697" spans="1:8" x14ac:dyDescent="0.2">
      <c r="A697" s="2" t="s">
        <v>71</v>
      </c>
      <c r="B697" s="4">
        <v>263</v>
      </c>
      <c r="C697" s="5">
        <v>17.899999999999999</v>
      </c>
      <c r="D697" s="4">
        <v>116</v>
      </c>
      <c r="E697" s="5">
        <v>18.989999999999998</v>
      </c>
      <c r="F697" s="4">
        <v>147</v>
      </c>
      <c r="G697" s="5">
        <v>17.420000000000002</v>
      </c>
      <c r="H697" s="4">
        <v>0</v>
      </c>
    </row>
    <row r="698" spans="1:8" x14ac:dyDescent="0.2">
      <c r="A698" s="2" t="s">
        <v>72</v>
      </c>
      <c r="B698" s="4">
        <v>6</v>
      </c>
      <c r="C698" s="5">
        <v>0.41</v>
      </c>
      <c r="D698" s="4">
        <v>1</v>
      </c>
      <c r="E698" s="5">
        <v>0.16</v>
      </c>
      <c r="F698" s="4">
        <v>5</v>
      </c>
      <c r="G698" s="5">
        <v>0.59</v>
      </c>
      <c r="H698" s="4">
        <v>0</v>
      </c>
    </row>
    <row r="699" spans="1:8" x14ac:dyDescent="0.2">
      <c r="A699" s="2" t="s">
        <v>73</v>
      </c>
      <c r="B699" s="4">
        <v>140</v>
      </c>
      <c r="C699" s="5">
        <v>9.5299999999999994</v>
      </c>
      <c r="D699" s="4">
        <v>4</v>
      </c>
      <c r="E699" s="5">
        <v>0.65</v>
      </c>
      <c r="F699" s="4">
        <v>136</v>
      </c>
      <c r="G699" s="5">
        <v>16.11</v>
      </c>
      <c r="H699" s="4">
        <v>0</v>
      </c>
    </row>
    <row r="700" spans="1:8" x14ac:dyDescent="0.2">
      <c r="A700" s="2" t="s">
        <v>74</v>
      </c>
      <c r="B700" s="4">
        <v>85</v>
      </c>
      <c r="C700" s="5">
        <v>5.79</v>
      </c>
      <c r="D700" s="4">
        <v>39</v>
      </c>
      <c r="E700" s="5">
        <v>6.38</v>
      </c>
      <c r="F700" s="4">
        <v>46</v>
      </c>
      <c r="G700" s="5">
        <v>5.45</v>
      </c>
      <c r="H700" s="4">
        <v>0</v>
      </c>
    </row>
    <row r="701" spans="1:8" x14ac:dyDescent="0.2">
      <c r="A701" s="2" t="s">
        <v>75</v>
      </c>
      <c r="B701" s="4">
        <v>163</v>
      </c>
      <c r="C701" s="5">
        <v>11.1</v>
      </c>
      <c r="D701" s="4">
        <v>128</v>
      </c>
      <c r="E701" s="5">
        <v>20.95</v>
      </c>
      <c r="F701" s="4">
        <v>35</v>
      </c>
      <c r="G701" s="5">
        <v>4.1500000000000004</v>
      </c>
      <c r="H701" s="4">
        <v>0</v>
      </c>
    </row>
    <row r="702" spans="1:8" x14ac:dyDescent="0.2">
      <c r="A702" s="2" t="s">
        <v>76</v>
      </c>
      <c r="B702" s="4">
        <v>169</v>
      </c>
      <c r="C702" s="5">
        <v>11.5</v>
      </c>
      <c r="D702" s="4">
        <v>126</v>
      </c>
      <c r="E702" s="5">
        <v>20.62</v>
      </c>
      <c r="F702" s="4">
        <v>43</v>
      </c>
      <c r="G702" s="5">
        <v>5.09</v>
      </c>
      <c r="H702" s="4">
        <v>0</v>
      </c>
    </row>
    <row r="703" spans="1:8" x14ac:dyDescent="0.2">
      <c r="A703" s="2" t="s">
        <v>77</v>
      </c>
      <c r="B703" s="4">
        <v>70</v>
      </c>
      <c r="C703" s="5">
        <v>4.7699999999999996</v>
      </c>
      <c r="D703" s="4">
        <v>48</v>
      </c>
      <c r="E703" s="5">
        <v>7.86</v>
      </c>
      <c r="F703" s="4">
        <v>15</v>
      </c>
      <c r="G703" s="5">
        <v>1.78</v>
      </c>
      <c r="H703" s="4">
        <v>0</v>
      </c>
    </row>
    <row r="704" spans="1:8" x14ac:dyDescent="0.2">
      <c r="A704" s="2" t="s">
        <v>78</v>
      </c>
      <c r="B704" s="4">
        <v>79</v>
      </c>
      <c r="C704" s="5">
        <v>5.38</v>
      </c>
      <c r="D704" s="4">
        <v>52</v>
      </c>
      <c r="E704" s="5">
        <v>8.51</v>
      </c>
      <c r="F704" s="4">
        <v>23</v>
      </c>
      <c r="G704" s="5">
        <v>2.73</v>
      </c>
      <c r="H704" s="4">
        <v>0</v>
      </c>
    </row>
    <row r="705" spans="1:8" x14ac:dyDescent="0.2">
      <c r="A705" s="2" t="s">
        <v>79</v>
      </c>
      <c r="B705" s="4">
        <v>58</v>
      </c>
      <c r="C705" s="5">
        <v>3.95</v>
      </c>
      <c r="D705" s="4">
        <v>13</v>
      </c>
      <c r="E705" s="5">
        <v>2.13</v>
      </c>
      <c r="F705" s="4">
        <v>42</v>
      </c>
      <c r="G705" s="5">
        <v>4.9800000000000004</v>
      </c>
      <c r="H705" s="4">
        <v>0</v>
      </c>
    </row>
    <row r="706" spans="1:8" x14ac:dyDescent="0.2">
      <c r="A706" s="1" t="s">
        <v>44</v>
      </c>
      <c r="B706" s="4">
        <v>1083</v>
      </c>
      <c r="C706" s="5">
        <v>99.99</v>
      </c>
      <c r="D706" s="4">
        <v>507</v>
      </c>
      <c r="E706" s="5">
        <v>99.990000000000009</v>
      </c>
      <c r="F706" s="4">
        <v>555</v>
      </c>
      <c r="G706" s="5">
        <v>99.999999999999986</v>
      </c>
      <c r="H706" s="4">
        <v>0</v>
      </c>
    </row>
    <row r="707" spans="1:8" x14ac:dyDescent="0.2">
      <c r="A707" s="2" t="s">
        <v>65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66</v>
      </c>
      <c r="B708" s="4">
        <v>171</v>
      </c>
      <c r="C708" s="5">
        <v>15.79</v>
      </c>
      <c r="D708" s="4">
        <v>29</v>
      </c>
      <c r="E708" s="5">
        <v>5.72</v>
      </c>
      <c r="F708" s="4">
        <v>142</v>
      </c>
      <c r="G708" s="5">
        <v>25.59</v>
      </c>
      <c r="H708" s="4">
        <v>0</v>
      </c>
    </row>
    <row r="709" spans="1:8" x14ac:dyDescent="0.2">
      <c r="A709" s="2" t="s">
        <v>67</v>
      </c>
      <c r="B709" s="4">
        <v>35</v>
      </c>
      <c r="C709" s="5">
        <v>3.23</v>
      </c>
      <c r="D709" s="4">
        <v>9</v>
      </c>
      <c r="E709" s="5">
        <v>1.78</v>
      </c>
      <c r="F709" s="4">
        <v>26</v>
      </c>
      <c r="G709" s="5">
        <v>4.68</v>
      </c>
      <c r="H709" s="4">
        <v>0</v>
      </c>
    </row>
    <row r="710" spans="1:8" x14ac:dyDescent="0.2">
      <c r="A710" s="2" t="s">
        <v>68</v>
      </c>
      <c r="B710" s="4">
        <v>2</v>
      </c>
      <c r="C710" s="5">
        <v>0.18</v>
      </c>
      <c r="D710" s="4">
        <v>0</v>
      </c>
      <c r="E710" s="5">
        <v>0</v>
      </c>
      <c r="F710" s="4">
        <v>2</v>
      </c>
      <c r="G710" s="5">
        <v>0.36</v>
      </c>
      <c r="H710" s="4">
        <v>0</v>
      </c>
    </row>
    <row r="711" spans="1:8" x14ac:dyDescent="0.2">
      <c r="A711" s="2" t="s">
        <v>69</v>
      </c>
      <c r="B711" s="4">
        <v>13</v>
      </c>
      <c r="C711" s="5">
        <v>1.2</v>
      </c>
      <c r="D711" s="4">
        <v>1</v>
      </c>
      <c r="E711" s="5">
        <v>0.2</v>
      </c>
      <c r="F711" s="4">
        <v>12</v>
      </c>
      <c r="G711" s="5">
        <v>2.16</v>
      </c>
      <c r="H711" s="4">
        <v>0</v>
      </c>
    </row>
    <row r="712" spans="1:8" x14ac:dyDescent="0.2">
      <c r="A712" s="2" t="s">
        <v>70</v>
      </c>
      <c r="B712" s="4">
        <v>5</v>
      </c>
      <c r="C712" s="5">
        <v>0.46</v>
      </c>
      <c r="D712" s="4">
        <v>3</v>
      </c>
      <c r="E712" s="5">
        <v>0.59</v>
      </c>
      <c r="F712" s="4">
        <v>2</v>
      </c>
      <c r="G712" s="5">
        <v>0.36</v>
      </c>
      <c r="H712" s="4">
        <v>0</v>
      </c>
    </row>
    <row r="713" spans="1:8" x14ac:dyDescent="0.2">
      <c r="A713" s="2" t="s">
        <v>71</v>
      </c>
      <c r="B713" s="4">
        <v>224</v>
      </c>
      <c r="C713" s="5">
        <v>20.68</v>
      </c>
      <c r="D713" s="4">
        <v>113</v>
      </c>
      <c r="E713" s="5">
        <v>22.29</v>
      </c>
      <c r="F713" s="4">
        <v>111</v>
      </c>
      <c r="G713" s="5">
        <v>20</v>
      </c>
      <c r="H713" s="4">
        <v>0</v>
      </c>
    </row>
    <row r="714" spans="1:8" x14ac:dyDescent="0.2">
      <c r="A714" s="2" t="s">
        <v>72</v>
      </c>
      <c r="B714" s="4">
        <v>7</v>
      </c>
      <c r="C714" s="5">
        <v>0.65</v>
      </c>
      <c r="D714" s="4">
        <v>2</v>
      </c>
      <c r="E714" s="5">
        <v>0.39</v>
      </c>
      <c r="F714" s="4">
        <v>5</v>
      </c>
      <c r="G714" s="5">
        <v>0.9</v>
      </c>
      <c r="H714" s="4">
        <v>0</v>
      </c>
    </row>
    <row r="715" spans="1:8" x14ac:dyDescent="0.2">
      <c r="A715" s="2" t="s">
        <v>73</v>
      </c>
      <c r="B715" s="4">
        <v>102</v>
      </c>
      <c r="C715" s="5">
        <v>9.42</v>
      </c>
      <c r="D715" s="4">
        <v>23</v>
      </c>
      <c r="E715" s="5">
        <v>4.54</v>
      </c>
      <c r="F715" s="4">
        <v>79</v>
      </c>
      <c r="G715" s="5">
        <v>14.23</v>
      </c>
      <c r="H715" s="4">
        <v>0</v>
      </c>
    </row>
    <row r="716" spans="1:8" x14ac:dyDescent="0.2">
      <c r="A716" s="2" t="s">
        <v>74</v>
      </c>
      <c r="B716" s="4">
        <v>57</v>
      </c>
      <c r="C716" s="5">
        <v>5.26</v>
      </c>
      <c r="D716" s="4">
        <v>21</v>
      </c>
      <c r="E716" s="5">
        <v>4.1399999999999997</v>
      </c>
      <c r="F716" s="4">
        <v>36</v>
      </c>
      <c r="G716" s="5">
        <v>6.49</v>
      </c>
      <c r="H716" s="4">
        <v>0</v>
      </c>
    </row>
    <row r="717" spans="1:8" x14ac:dyDescent="0.2">
      <c r="A717" s="2" t="s">
        <v>75</v>
      </c>
      <c r="B717" s="4">
        <v>124</v>
      </c>
      <c r="C717" s="5">
        <v>11.45</v>
      </c>
      <c r="D717" s="4">
        <v>96</v>
      </c>
      <c r="E717" s="5">
        <v>18.93</v>
      </c>
      <c r="F717" s="4">
        <v>28</v>
      </c>
      <c r="G717" s="5">
        <v>5.05</v>
      </c>
      <c r="H717" s="4">
        <v>0</v>
      </c>
    </row>
    <row r="718" spans="1:8" x14ac:dyDescent="0.2">
      <c r="A718" s="2" t="s">
        <v>76</v>
      </c>
      <c r="B718" s="4">
        <v>160</v>
      </c>
      <c r="C718" s="5">
        <v>14.77</v>
      </c>
      <c r="D718" s="4">
        <v>118</v>
      </c>
      <c r="E718" s="5">
        <v>23.27</v>
      </c>
      <c r="F718" s="4">
        <v>42</v>
      </c>
      <c r="G718" s="5">
        <v>7.57</v>
      </c>
      <c r="H718" s="4">
        <v>0</v>
      </c>
    </row>
    <row r="719" spans="1:8" x14ac:dyDescent="0.2">
      <c r="A719" s="2" t="s">
        <v>77</v>
      </c>
      <c r="B719" s="4">
        <v>62</v>
      </c>
      <c r="C719" s="5">
        <v>5.72</v>
      </c>
      <c r="D719" s="4">
        <v>43</v>
      </c>
      <c r="E719" s="5">
        <v>8.48</v>
      </c>
      <c r="F719" s="4">
        <v>15</v>
      </c>
      <c r="G719" s="5">
        <v>2.7</v>
      </c>
      <c r="H719" s="4">
        <v>0</v>
      </c>
    </row>
    <row r="720" spans="1:8" x14ac:dyDescent="0.2">
      <c r="A720" s="2" t="s">
        <v>78</v>
      </c>
      <c r="B720" s="4">
        <v>84</v>
      </c>
      <c r="C720" s="5">
        <v>7.76</v>
      </c>
      <c r="D720" s="4">
        <v>43</v>
      </c>
      <c r="E720" s="5">
        <v>8.48</v>
      </c>
      <c r="F720" s="4">
        <v>25</v>
      </c>
      <c r="G720" s="5">
        <v>4.5</v>
      </c>
      <c r="H720" s="4">
        <v>0</v>
      </c>
    </row>
    <row r="721" spans="1:8" x14ac:dyDescent="0.2">
      <c r="A721" s="2" t="s">
        <v>79</v>
      </c>
      <c r="B721" s="4">
        <v>37</v>
      </c>
      <c r="C721" s="5">
        <v>3.42</v>
      </c>
      <c r="D721" s="4">
        <v>6</v>
      </c>
      <c r="E721" s="5">
        <v>1.18</v>
      </c>
      <c r="F721" s="4">
        <v>30</v>
      </c>
      <c r="G721" s="5">
        <v>5.41</v>
      </c>
      <c r="H721" s="4">
        <v>0</v>
      </c>
    </row>
    <row r="722" spans="1:8" x14ac:dyDescent="0.2">
      <c r="A722" s="1" t="s">
        <v>45</v>
      </c>
      <c r="B722" s="4">
        <v>1831</v>
      </c>
      <c r="C722" s="5">
        <v>99.999999999999986</v>
      </c>
      <c r="D722" s="4">
        <v>715</v>
      </c>
      <c r="E722" s="5">
        <v>99.999999999999986</v>
      </c>
      <c r="F722" s="4">
        <v>1108</v>
      </c>
      <c r="G722" s="5">
        <v>99.99</v>
      </c>
      <c r="H722" s="4">
        <v>1</v>
      </c>
    </row>
    <row r="723" spans="1:8" x14ac:dyDescent="0.2">
      <c r="A723" s="2" t="s">
        <v>65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66</v>
      </c>
      <c r="B724" s="4">
        <v>376</v>
      </c>
      <c r="C724" s="5">
        <v>20.54</v>
      </c>
      <c r="D724" s="4">
        <v>80</v>
      </c>
      <c r="E724" s="5">
        <v>11.19</v>
      </c>
      <c r="F724" s="4">
        <v>296</v>
      </c>
      <c r="G724" s="5">
        <v>26.71</v>
      </c>
      <c r="H724" s="4">
        <v>0</v>
      </c>
    </row>
    <row r="725" spans="1:8" x14ac:dyDescent="0.2">
      <c r="A725" s="2" t="s">
        <v>67</v>
      </c>
      <c r="B725" s="4">
        <v>113</v>
      </c>
      <c r="C725" s="5">
        <v>6.17</v>
      </c>
      <c r="D725" s="4">
        <v>14</v>
      </c>
      <c r="E725" s="5">
        <v>1.96</v>
      </c>
      <c r="F725" s="4">
        <v>99</v>
      </c>
      <c r="G725" s="5">
        <v>8.94</v>
      </c>
      <c r="H725" s="4">
        <v>0</v>
      </c>
    </row>
    <row r="726" spans="1:8" x14ac:dyDescent="0.2">
      <c r="A726" s="2" t="s">
        <v>68</v>
      </c>
      <c r="B726" s="4">
        <v>2</v>
      </c>
      <c r="C726" s="5">
        <v>0.11</v>
      </c>
      <c r="D726" s="4">
        <v>0</v>
      </c>
      <c r="E726" s="5">
        <v>0</v>
      </c>
      <c r="F726" s="4">
        <v>2</v>
      </c>
      <c r="G726" s="5">
        <v>0.18</v>
      </c>
      <c r="H726" s="4">
        <v>0</v>
      </c>
    </row>
    <row r="727" spans="1:8" x14ac:dyDescent="0.2">
      <c r="A727" s="2" t="s">
        <v>69</v>
      </c>
      <c r="B727" s="4">
        <v>54</v>
      </c>
      <c r="C727" s="5">
        <v>2.95</v>
      </c>
      <c r="D727" s="4">
        <v>2</v>
      </c>
      <c r="E727" s="5">
        <v>0.28000000000000003</v>
      </c>
      <c r="F727" s="4">
        <v>52</v>
      </c>
      <c r="G727" s="5">
        <v>4.6900000000000004</v>
      </c>
      <c r="H727" s="4">
        <v>0</v>
      </c>
    </row>
    <row r="728" spans="1:8" x14ac:dyDescent="0.2">
      <c r="A728" s="2" t="s">
        <v>70</v>
      </c>
      <c r="B728" s="4">
        <v>13</v>
      </c>
      <c r="C728" s="5">
        <v>0.71</v>
      </c>
      <c r="D728" s="4">
        <v>3</v>
      </c>
      <c r="E728" s="5">
        <v>0.42</v>
      </c>
      <c r="F728" s="4">
        <v>10</v>
      </c>
      <c r="G728" s="5">
        <v>0.9</v>
      </c>
      <c r="H728" s="4">
        <v>0</v>
      </c>
    </row>
    <row r="729" spans="1:8" x14ac:dyDescent="0.2">
      <c r="A729" s="2" t="s">
        <v>71</v>
      </c>
      <c r="B729" s="4">
        <v>299</v>
      </c>
      <c r="C729" s="5">
        <v>16.329999999999998</v>
      </c>
      <c r="D729" s="4">
        <v>116</v>
      </c>
      <c r="E729" s="5">
        <v>16.22</v>
      </c>
      <c r="F729" s="4">
        <v>183</v>
      </c>
      <c r="G729" s="5">
        <v>16.52</v>
      </c>
      <c r="H729" s="4">
        <v>0</v>
      </c>
    </row>
    <row r="730" spans="1:8" x14ac:dyDescent="0.2">
      <c r="A730" s="2" t="s">
        <v>72</v>
      </c>
      <c r="B730" s="4">
        <v>15</v>
      </c>
      <c r="C730" s="5">
        <v>0.82</v>
      </c>
      <c r="D730" s="4">
        <v>3</v>
      </c>
      <c r="E730" s="5">
        <v>0.42</v>
      </c>
      <c r="F730" s="4">
        <v>12</v>
      </c>
      <c r="G730" s="5">
        <v>1.08</v>
      </c>
      <c r="H730" s="4">
        <v>0</v>
      </c>
    </row>
    <row r="731" spans="1:8" x14ac:dyDescent="0.2">
      <c r="A731" s="2" t="s">
        <v>73</v>
      </c>
      <c r="B731" s="4">
        <v>236</v>
      </c>
      <c r="C731" s="5">
        <v>12.89</v>
      </c>
      <c r="D731" s="4">
        <v>64</v>
      </c>
      <c r="E731" s="5">
        <v>8.9499999999999993</v>
      </c>
      <c r="F731" s="4">
        <v>171</v>
      </c>
      <c r="G731" s="5">
        <v>15.43</v>
      </c>
      <c r="H731" s="4">
        <v>1</v>
      </c>
    </row>
    <row r="732" spans="1:8" x14ac:dyDescent="0.2">
      <c r="A732" s="2" t="s">
        <v>74</v>
      </c>
      <c r="B732" s="4">
        <v>109</v>
      </c>
      <c r="C732" s="5">
        <v>5.95</v>
      </c>
      <c r="D732" s="4">
        <v>49</v>
      </c>
      <c r="E732" s="5">
        <v>6.85</v>
      </c>
      <c r="F732" s="4">
        <v>59</v>
      </c>
      <c r="G732" s="5">
        <v>5.32</v>
      </c>
      <c r="H732" s="4">
        <v>0</v>
      </c>
    </row>
    <row r="733" spans="1:8" x14ac:dyDescent="0.2">
      <c r="A733" s="2" t="s">
        <v>75</v>
      </c>
      <c r="B733" s="4">
        <v>146</v>
      </c>
      <c r="C733" s="5">
        <v>7.97</v>
      </c>
      <c r="D733" s="4">
        <v>106</v>
      </c>
      <c r="E733" s="5">
        <v>14.83</v>
      </c>
      <c r="F733" s="4">
        <v>40</v>
      </c>
      <c r="G733" s="5">
        <v>3.61</v>
      </c>
      <c r="H733" s="4">
        <v>0</v>
      </c>
    </row>
    <row r="734" spans="1:8" x14ac:dyDescent="0.2">
      <c r="A734" s="2" t="s">
        <v>76</v>
      </c>
      <c r="B734" s="4">
        <v>193</v>
      </c>
      <c r="C734" s="5">
        <v>10.54</v>
      </c>
      <c r="D734" s="4">
        <v>121</v>
      </c>
      <c r="E734" s="5">
        <v>16.920000000000002</v>
      </c>
      <c r="F734" s="4">
        <v>72</v>
      </c>
      <c r="G734" s="5">
        <v>6.5</v>
      </c>
      <c r="H734" s="4">
        <v>0</v>
      </c>
    </row>
    <row r="735" spans="1:8" x14ac:dyDescent="0.2">
      <c r="A735" s="2" t="s">
        <v>77</v>
      </c>
      <c r="B735" s="4">
        <v>100</v>
      </c>
      <c r="C735" s="5">
        <v>5.46</v>
      </c>
      <c r="D735" s="4">
        <v>69</v>
      </c>
      <c r="E735" s="5">
        <v>9.65</v>
      </c>
      <c r="F735" s="4">
        <v>29</v>
      </c>
      <c r="G735" s="5">
        <v>2.62</v>
      </c>
      <c r="H735" s="4">
        <v>0</v>
      </c>
    </row>
    <row r="736" spans="1:8" x14ac:dyDescent="0.2">
      <c r="A736" s="2" t="s">
        <v>78</v>
      </c>
      <c r="B736" s="4">
        <v>117</v>
      </c>
      <c r="C736" s="5">
        <v>6.39</v>
      </c>
      <c r="D736" s="4">
        <v>72</v>
      </c>
      <c r="E736" s="5">
        <v>10.07</v>
      </c>
      <c r="F736" s="4">
        <v>41</v>
      </c>
      <c r="G736" s="5">
        <v>3.7</v>
      </c>
      <c r="H736" s="4">
        <v>0</v>
      </c>
    </row>
    <row r="737" spans="1:8" x14ac:dyDescent="0.2">
      <c r="A737" s="2" t="s">
        <v>79</v>
      </c>
      <c r="B737" s="4">
        <v>58</v>
      </c>
      <c r="C737" s="5">
        <v>3.17</v>
      </c>
      <c r="D737" s="4">
        <v>16</v>
      </c>
      <c r="E737" s="5">
        <v>2.2400000000000002</v>
      </c>
      <c r="F737" s="4">
        <v>42</v>
      </c>
      <c r="G737" s="5">
        <v>3.79</v>
      </c>
      <c r="H737" s="4">
        <v>0</v>
      </c>
    </row>
    <row r="738" spans="1:8" x14ac:dyDescent="0.2">
      <c r="A738" s="1" t="s">
        <v>46</v>
      </c>
      <c r="B738" s="4">
        <v>1354</v>
      </c>
      <c r="C738" s="5">
        <v>100.01</v>
      </c>
      <c r="D738" s="4">
        <v>489</v>
      </c>
      <c r="E738" s="5">
        <v>99.99</v>
      </c>
      <c r="F738" s="4">
        <v>855</v>
      </c>
      <c r="G738" s="5">
        <v>100.00000000000001</v>
      </c>
      <c r="H738" s="4">
        <v>1</v>
      </c>
    </row>
    <row r="739" spans="1:8" x14ac:dyDescent="0.2">
      <c r="A739" s="2" t="s">
        <v>65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66</v>
      </c>
      <c r="B740" s="4">
        <v>352</v>
      </c>
      <c r="C740" s="5">
        <v>26</v>
      </c>
      <c r="D740" s="4">
        <v>64</v>
      </c>
      <c r="E740" s="5">
        <v>13.09</v>
      </c>
      <c r="F740" s="4">
        <v>288</v>
      </c>
      <c r="G740" s="5">
        <v>33.68</v>
      </c>
      <c r="H740" s="4">
        <v>0</v>
      </c>
    </row>
    <row r="741" spans="1:8" x14ac:dyDescent="0.2">
      <c r="A741" s="2" t="s">
        <v>67</v>
      </c>
      <c r="B741" s="4">
        <v>182</v>
      </c>
      <c r="C741" s="5">
        <v>13.44</v>
      </c>
      <c r="D741" s="4">
        <v>29</v>
      </c>
      <c r="E741" s="5">
        <v>5.93</v>
      </c>
      <c r="F741" s="4">
        <v>153</v>
      </c>
      <c r="G741" s="5">
        <v>17.89</v>
      </c>
      <c r="H741" s="4">
        <v>0</v>
      </c>
    </row>
    <row r="742" spans="1:8" x14ac:dyDescent="0.2">
      <c r="A742" s="2" t="s">
        <v>68</v>
      </c>
      <c r="B742" s="4">
        <v>1</v>
      </c>
      <c r="C742" s="5">
        <v>7.0000000000000007E-2</v>
      </c>
      <c r="D742" s="4">
        <v>0</v>
      </c>
      <c r="E742" s="5">
        <v>0</v>
      </c>
      <c r="F742" s="4">
        <v>1</v>
      </c>
      <c r="G742" s="5">
        <v>0.12</v>
      </c>
      <c r="H742" s="4">
        <v>0</v>
      </c>
    </row>
    <row r="743" spans="1:8" x14ac:dyDescent="0.2">
      <c r="A743" s="2" t="s">
        <v>69</v>
      </c>
      <c r="B743" s="4">
        <v>7</v>
      </c>
      <c r="C743" s="5">
        <v>0.52</v>
      </c>
      <c r="D743" s="4">
        <v>0</v>
      </c>
      <c r="E743" s="5">
        <v>0</v>
      </c>
      <c r="F743" s="4">
        <v>7</v>
      </c>
      <c r="G743" s="5">
        <v>0.82</v>
      </c>
      <c r="H743" s="4">
        <v>0</v>
      </c>
    </row>
    <row r="744" spans="1:8" x14ac:dyDescent="0.2">
      <c r="A744" s="2" t="s">
        <v>70</v>
      </c>
      <c r="B744" s="4">
        <v>16</v>
      </c>
      <c r="C744" s="5">
        <v>1.18</v>
      </c>
      <c r="D744" s="4">
        <v>4</v>
      </c>
      <c r="E744" s="5">
        <v>0.82</v>
      </c>
      <c r="F744" s="4">
        <v>12</v>
      </c>
      <c r="G744" s="5">
        <v>1.4</v>
      </c>
      <c r="H744" s="4">
        <v>0</v>
      </c>
    </row>
    <row r="745" spans="1:8" x14ac:dyDescent="0.2">
      <c r="A745" s="2" t="s">
        <v>71</v>
      </c>
      <c r="B745" s="4">
        <v>264</v>
      </c>
      <c r="C745" s="5">
        <v>19.5</v>
      </c>
      <c r="D745" s="4">
        <v>98</v>
      </c>
      <c r="E745" s="5">
        <v>20.04</v>
      </c>
      <c r="F745" s="4">
        <v>166</v>
      </c>
      <c r="G745" s="5">
        <v>19.420000000000002</v>
      </c>
      <c r="H745" s="4">
        <v>0</v>
      </c>
    </row>
    <row r="746" spans="1:8" x14ac:dyDescent="0.2">
      <c r="A746" s="2" t="s">
        <v>72</v>
      </c>
      <c r="B746" s="4">
        <v>3</v>
      </c>
      <c r="C746" s="5">
        <v>0.22</v>
      </c>
      <c r="D746" s="4">
        <v>1</v>
      </c>
      <c r="E746" s="5">
        <v>0.2</v>
      </c>
      <c r="F746" s="4">
        <v>2</v>
      </c>
      <c r="G746" s="5">
        <v>0.23</v>
      </c>
      <c r="H746" s="4">
        <v>0</v>
      </c>
    </row>
    <row r="747" spans="1:8" x14ac:dyDescent="0.2">
      <c r="A747" s="2" t="s">
        <v>73</v>
      </c>
      <c r="B747" s="4">
        <v>95</v>
      </c>
      <c r="C747" s="5">
        <v>7.02</v>
      </c>
      <c r="D747" s="4">
        <v>2</v>
      </c>
      <c r="E747" s="5">
        <v>0.41</v>
      </c>
      <c r="F747" s="4">
        <v>93</v>
      </c>
      <c r="G747" s="5">
        <v>10.88</v>
      </c>
      <c r="H747" s="4">
        <v>0</v>
      </c>
    </row>
    <row r="748" spans="1:8" x14ac:dyDescent="0.2">
      <c r="A748" s="2" t="s">
        <v>74</v>
      </c>
      <c r="B748" s="4">
        <v>60</v>
      </c>
      <c r="C748" s="5">
        <v>4.43</v>
      </c>
      <c r="D748" s="4">
        <v>27</v>
      </c>
      <c r="E748" s="5">
        <v>5.52</v>
      </c>
      <c r="F748" s="4">
        <v>33</v>
      </c>
      <c r="G748" s="5">
        <v>3.86</v>
      </c>
      <c r="H748" s="4">
        <v>0</v>
      </c>
    </row>
    <row r="749" spans="1:8" x14ac:dyDescent="0.2">
      <c r="A749" s="2" t="s">
        <v>75</v>
      </c>
      <c r="B749" s="4">
        <v>109</v>
      </c>
      <c r="C749" s="5">
        <v>8.0500000000000007</v>
      </c>
      <c r="D749" s="4">
        <v>89</v>
      </c>
      <c r="E749" s="5">
        <v>18.2</v>
      </c>
      <c r="F749" s="4">
        <v>20</v>
      </c>
      <c r="G749" s="5">
        <v>2.34</v>
      </c>
      <c r="H749" s="4">
        <v>0</v>
      </c>
    </row>
    <row r="750" spans="1:8" x14ac:dyDescent="0.2">
      <c r="A750" s="2" t="s">
        <v>76</v>
      </c>
      <c r="B750" s="4">
        <v>116</v>
      </c>
      <c r="C750" s="5">
        <v>8.57</v>
      </c>
      <c r="D750" s="4">
        <v>82</v>
      </c>
      <c r="E750" s="5">
        <v>16.77</v>
      </c>
      <c r="F750" s="4">
        <v>34</v>
      </c>
      <c r="G750" s="5">
        <v>3.98</v>
      </c>
      <c r="H750" s="4">
        <v>0</v>
      </c>
    </row>
    <row r="751" spans="1:8" x14ac:dyDescent="0.2">
      <c r="A751" s="2" t="s">
        <v>77</v>
      </c>
      <c r="B751" s="4">
        <v>43</v>
      </c>
      <c r="C751" s="5">
        <v>3.18</v>
      </c>
      <c r="D751" s="4">
        <v>34</v>
      </c>
      <c r="E751" s="5">
        <v>6.95</v>
      </c>
      <c r="F751" s="4">
        <v>6</v>
      </c>
      <c r="G751" s="5">
        <v>0.7</v>
      </c>
      <c r="H751" s="4">
        <v>1</v>
      </c>
    </row>
    <row r="752" spans="1:8" x14ac:dyDescent="0.2">
      <c r="A752" s="2" t="s">
        <v>78</v>
      </c>
      <c r="B752" s="4">
        <v>50</v>
      </c>
      <c r="C752" s="5">
        <v>3.69</v>
      </c>
      <c r="D752" s="4">
        <v>38</v>
      </c>
      <c r="E752" s="5">
        <v>7.77</v>
      </c>
      <c r="F752" s="4">
        <v>11</v>
      </c>
      <c r="G752" s="5">
        <v>1.29</v>
      </c>
      <c r="H752" s="4">
        <v>0</v>
      </c>
    </row>
    <row r="753" spans="1:8" x14ac:dyDescent="0.2">
      <c r="A753" s="2" t="s">
        <v>79</v>
      </c>
      <c r="B753" s="4">
        <v>56</v>
      </c>
      <c r="C753" s="5">
        <v>4.1399999999999997</v>
      </c>
      <c r="D753" s="4">
        <v>21</v>
      </c>
      <c r="E753" s="5">
        <v>4.29</v>
      </c>
      <c r="F753" s="4">
        <v>29</v>
      </c>
      <c r="G753" s="5">
        <v>3.39</v>
      </c>
      <c r="H753" s="4">
        <v>0</v>
      </c>
    </row>
    <row r="754" spans="1:8" x14ac:dyDescent="0.2">
      <c r="A754" s="1" t="s">
        <v>47</v>
      </c>
      <c r="B754" s="4">
        <v>1713</v>
      </c>
      <c r="C754" s="5">
        <v>100.00000000000001</v>
      </c>
      <c r="D754" s="4">
        <v>484</v>
      </c>
      <c r="E754" s="5">
        <v>100.00999999999999</v>
      </c>
      <c r="F754" s="4">
        <v>1218</v>
      </c>
      <c r="G754" s="5">
        <v>100.00999999999998</v>
      </c>
      <c r="H754" s="4">
        <v>2</v>
      </c>
    </row>
    <row r="755" spans="1:8" x14ac:dyDescent="0.2">
      <c r="A755" s="2" t="s">
        <v>65</v>
      </c>
      <c r="B755" s="4">
        <v>1</v>
      </c>
      <c r="C755" s="5">
        <v>0.06</v>
      </c>
      <c r="D755" s="4">
        <v>0</v>
      </c>
      <c r="E755" s="5">
        <v>0</v>
      </c>
      <c r="F755" s="4">
        <v>1</v>
      </c>
      <c r="G755" s="5">
        <v>0.08</v>
      </c>
      <c r="H755" s="4">
        <v>0</v>
      </c>
    </row>
    <row r="756" spans="1:8" x14ac:dyDescent="0.2">
      <c r="A756" s="2" t="s">
        <v>66</v>
      </c>
      <c r="B756" s="4">
        <v>165</v>
      </c>
      <c r="C756" s="5">
        <v>9.6300000000000008</v>
      </c>
      <c r="D756" s="4">
        <v>12</v>
      </c>
      <c r="E756" s="5">
        <v>2.48</v>
      </c>
      <c r="F756" s="4">
        <v>153</v>
      </c>
      <c r="G756" s="5">
        <v>12.56</v>
      </c>
      <c r="H756" s="4">
        <v>0</v>
      </c>
    </row>
    <row r="757" spans="1:8" x14ac:dyDescent="0.2">
      <c r="A757" s="2" t="s">
        <v>67</v>
      </c>
      <c r="B757" s="4">
        <v>78</v>
      </c>
      <c r="C757" s="5">
        <v>4.55</v>
      </c>
      <c r="D757" s="4">
        <v>11</v>
      </c>
      <c r="E757" s="5">
        <v>2.27</v>
      </c>
      <c r="F757" s="4">
        <v>67</v>
      </c>
      <c r="G757" s="5">
        <v>5.5</v>
      </c>
      <c r="H757" s="4">
        <v>0</v>
      </c>
    </row>
    <row r="758" spans="1:8" x14ac:dyDescent="0.2">
      <c r="A758" s="2" t="s">
        <v>68</v>
      </c>
      <c r="B758" s="4">
        <v>3</v>
      </c>
      <c r="C758" s="5">
        <v>0.18</v>
      </c>
      <c r="D758" s="4">
        <v>0</v>
      </c>
      <c r="E758" s="5">
        <v>0</v>
      </c>
      <c r="F758" s="4">
        <v>3</v>
      </c>
      <c r="G758" s="5">
        <v>0.25</v>
      </c>
      <c r="H758" s="4">
        <v>0</v>
      </c>
    </row>
    <row r="759" spans="1:8" x14ac:dyDescent="0.2">
      <c r="A759" s="2" t="s">
        <v>69</v>
      </c>
      <c r="B759" s="4">
        <v>85</v>
      </c>
      <c r="C759" s="5">
        <v>4.96</v>
      </c>
      <c r="D759" s="4">
        <v>4</v>
      </c>
      <c r="E759" s="5">
        <v>0.83</v>
      </c>
      <c r="F759" s="4">
        <v>81</v>
      </c>
      <c r="G759" s="5">
        <v>6.65</v>
      </c>
      <c r="H759" s="4">
        <v>0</v>
      </c>
    </row>
    <row r="760" spans="1:8" x14ac:dyDescent="0.2">
      <c r="A760" s="2" t="s">
        <v>70</v>
      </c>
      <c r="B760" s="4">
        <v>10</v>
      </c>
      <c r="C760" s="5">
        <v>0.57999999999999996</v>
      </c>
      <c r="D760" s="4">
        <v>1</v>
      </c>
      <c r="E760" s="5">
        <v>0.21</v>
      </c>
      <c r="F760" s="4">
        <v>9</v>
      </c>
      <c r="G760" s="5">
        <v>0.74</v>
      </c>
      <c r="H760" s="4">
        <v>0</v>
      </c>
    </row>
    <row r="761" spans="1:8" x14ac:dyDescent="0.2">
      <c r="A761" s="2" t="s">
        <v>71</v>
      </c>
      <c r="B761" s="4">
        <v>342</v>
      </c>
      <c r="C761" s="5">
        <v>19.96</v>
      </c>
      <c r="D761" s="4">
        <v>63</v>
      </c>
      <c r="E761" s="5">
        <v>13.02</v>
      </c>
      <c r="F761" s="4">
        <v>279</v>
      </c>
      <c r="G761" s="5">
        <v>22.91</v>
      </c>
      <c r="H761" s="4">
        <v>0</v>
      </c>
    </row>
    <row r="762" spans="1:8" x14ac:dyDescent="0.2">
      <c r="A762" s="2" t="s">
        <v>72</v>
      </c>
      <c r="B762" s="4">
        <v>23</v>
      </c>
      <c r="C762" s="5">
        <v>1.34</v>
      </c>
      <c r="D762" s="4">
        <v>0</v>
      </c>
      <c r="E762" s="5">
        <v>0</v>
      </c>
      <c r="F762" s="4">
        <v>23</v>
      </c>
      <c r="G762" s="5">
        <v>1.89</v>
      </c>
      <c r="H762" s="4">
        <v>0</v>
      </c>
    </row>
    <row r="763" spans="1:8" x14ac:dyDescent="0.2">
      <c r="A763" s="2" t="s">
        <v>73</v>
      </c>
      <c r="B763" s="4">
        <v>206</v>
      </c>
      <c r="C763" s="5">
        <v>12.03</v>
      </c>
      <c r="D763" s="4">
        <v>20</v>
      </c>
      <c r="E763" s="5">
        <v>4.13</v>
      </c>
      <c r="F763" s="4">
        <v>186</v>
      </c>
      <c r="G763" s="5">
        <v>15.27</v>
      </c>
      <c r="H763" s="4">
        <v>0</v>
      </c>
    </row>
    <row r="764" spans="1:8" x14ac:dyDescent="0.2">
      <c r="A764" s="2" t="s">
        <v>74</v>
      </c>
      <c r="B764" s="4">
        <v>187</v>
      </c>
      <c r="C764" s="5">
        <v>10.92</v>
      </c>
      <c r="D764" s="4">
        <v>68</v>
      </c>
      <c r="E764" s="5">
        <v>14.05</v>
      </c>
      <c r="F764" s="4">
        <v>118</v>
      </c>
      <c r="G764" s="5">
        <v>9.69</v>
      </c>
      <c r="H764" s="4">
        <v>0</v>
      </c>
    </row>
    <row r="765" spans="1:8" x14ac:dyDescent="0.2">
      <c r="A765" s="2" t="s">
        <v>75</v>
      </c>
      <c r="B765" s="4">
        <v>128</v>
      </c>
      <c r="C765" s="5">
        <v>7.47</v>
      </c>
      <c r="D765" s="4">
        <v>81</v>
      </c>
      <c r="E765" s="5">
        <v>16.739999999999998</v>
      </c>
      <c r="F765" s="4">
        <v>47</v>
      </c>
      <c r="G765" s="5">
        <v>3.86</v>
      </c>
      <c r="H765" s="4">
        <v>0</v>
      </c>
    </row>
    <row r="766" spans="1:8" x14ac:dyDescent="0.2">
      <c r="A766" s="2" t="s">
        <v>76</v>
      </c>
      <c r="B766" s="4">
        <v>224</v>
      </c>
      <c r="C766" s="5">
        <v>13.08</v>
      </c>
      <c r="D766" s="4">
        <v>121</v>
      </c>
      <c r="E766" s="5">
        <v>25</v>
      </c>
      <c r="F766" s="4">
        <v>103</v>
      </c>
      <c r="G766" s="5">
        <v>8.4600000000000009</v>
      </c>
      <c r="H766" s="4">
        <v>0</v>
      </c>
    </row>
    <row r="767" spans="1:8" x14ac:dyDescent="0.2">
      <c r="A767" s="2" t="s">
        <v>77</v>
      </c>
      <c r="B767" s="4">
        <v>68</v>
      </c>
      <c r="C767" s="5">
        <v>3.97</v>
      </c>
      <c r="D767" s="4">
        <v>35</v>
      </c>
      <c r="E767" s="5">
        <v>7.23</v>
      </c>
      <c r="F767" s="4">
        <v>29</v>
      </c>
      <c r="G767" s="5">
        <v>2.38</v>
      </c>
      <c r="H767" s="4">
        <v>0</v>
      </c>
    </row>
    <row r="768" spans="1:8" x14ac:dyDescent="0.2">
      <c r="A768" s="2" t="s">
        <v>78</v>
      </c>
      <c r="B768" s="4">
        <v>111</v>
      </c>
      <c r="C768" s="5">
        <v>6.48</v>
      </c>
      <c r="D768" s="4">
        <v>58</v>
      </c>
      <c r="E768" s="5">
        <v>11.98</v>
      </c>
      <c r="F768" s="4">
        <v>49</v>
      </c>
      <c r="G768" s="5">
        <v>4.0199999999999996</v>
      </c>
      <c r="H768" s="4">
        <v>0</v>
      </c>
    </row>
    <row r="769" spans="1:8" x14ac:dyDescent="0.2">
      <c r="A769" s="2" t="s">
        <v>79</v>
      </c>
      <c r="B769" s="4">
        <v>82</v>
      </c>
      <c r="C769" s="5">
        <v>4.79</v>
      </c>
      <c r="D769" s="4">
        <v>10</v>
      </c>
      <c r="E769" s="5">
        <v>2.0699999999999998</v>
      </c>
      <c r="F769" s="4">
        <v>70</v>
      </c>
      <c r="G769" s="5">
        <v>5.75</v>
      </c>
      <c r="H769" s="4">
        <v>2</v>
      </c>
    </row>
    <row r="770" spans="1:8" x14ac:dyDescent="0.2">
      <c r="A770" s="1" t="s">
        <v>48</v>
      </c>
      <c r="B770" s="4">
        <v>1318</v>
      </c>
      <c r="C770" s="5">
        <v>100</v>
      </c>
      <c r="D770" s="4">
        <v>543</v>
      </c>
      <c r="E770" s="5">
        <v>99.99</v>
      </c>
      <c r="F770" s="4">
        <v>764</v>
      </c>
      <c r="G770" s="5">
        <v>100.00000000000001</v>
      </c>
      <c r="H770" s="4">
        <v>5</v>
      </c>
    </row>
    <row r="771" spans="1:8" x14ac:dyDescent="0.2">
      <c r="A771" s="2" t="s">
        <v>65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66</v>
      </c>
      <c r="B772" s="4">
        <v>213</v>
      </c>
      <c r="C772" s="5">
        <v>16.16</v>
      </c>
      <c r="D772" s="4">
        <v>40</v>
      </c>
      <c r="E772" s="5">
        <v>7.37</v>
      </c>
      <c r="F772" s="4">
        <v>172</v>
      </c>
      <c r="G772" s="5">
        <v>22.51</v>
      </c>
      <c r="H772" s="4">
        <v>1</v>
      </c>
    </row>
    <row r="773" spans="1:8" x14ac:dyDescent="0.2">
      <c r="A773" s="2" t="s">
        <v>67</v>
      </c>
      <c r="B773" s="4">
        <v>116</v>
      </c>
      <c r="C773" s="5">
        <v>8.8000000000000007</v>
      </c>
      <c r="D773" s="4">
        <v>30</v>
      </c>
      <c r="E773" s="5">
        <v>5.52</v>
      </c>
      <c r="F773" s="4">
        <v>86</v>
      </c>
      <c r="G773" s="5">
        <v>11.26</v>
      </c>
      <c r="H773" s="4">
        <v>0</v>
      </c>
    </row>
    <row r="774" spans="1:8" x14ac:dyDescent="0.2">
      <c r="A774" s="2" t="s">
        <v>68</v>
      </c>
      <c r="B774" s="4">
        <v>1</v>
      </c>
      <c r="C774" s="5">
        <v>0.08</v>
      </c>
      <c r="D774" s="4">
        <v>0</v>
      </c>
      <c r="E774" s="5">
        <v>0</v>
      </c>
      <c r="F774" s="4">
        <v>1</v>
      </c>
      <c r="G774" s="5">
        <v>0.13</v>
      </c>
      <c r="H774" s="4">
        <v>0</v>
      </c>
    </row>
    <row r="775" spans="1:8" x14ac:dyDescent="0.2">
      <c r="A775" s="2" t="s">
        <v>69</v>
      </c>
      <c r="B775" s="4">
        <v>32</v>
      </c>
      <c r="C775" s="5">
        <v>2.4300000000000002</v>
      </c>
      <c r="D775" s="4">
        <v>2</v>
      </c>
      <c r="E775" s="5">
        <v>0.37</v>
      </c>
      <c r="F775" s="4">
        <v>30</v>
      </c>
      <c r="G775" s="5">
        <v>3.93</v>
      </c>
      <c r="H775" s="4">
        <v>0</v>
      </c>
    </row>
    <row r="776" spans="1:8" x14ac:dyDescent="0.2">
      <c r="A776" s="2" t="s">
        <v>70</v>
      </c>
      <c r="B776" s="4">
        <v>13</v>
      </c>
      <c r="C776" s="5">
        <v>0.99</v>
      </c>
      <c r="D776" s="4">
        <v>2</v>
      </c>
      <c r="E776" s="5">
        <v>0.37</v>
      </c>
      <c r="F776" s="4">
        <v>11</v>
      </c>
      <c r="G776" s="5">
        <v>1.44</v>
      </c>
      <c r="H776" s="4">
        <v>0</v>
      </c>
    </row>
    <row r="777" spans="1:8" x14ac:dyDescent="0.2">
      <c r="A777" s="2" t="s">
        <v>71</v>
      </c>
      <c r="B777" s="4">
        <v>208</v>
      </c>
      <c r="C777" s="5">
        <v>15.78</v>
      </c>
      <c r="D777" s="4">
        <v>74</v>
      </c>
      <c r="E777" s="5">
        <v>13.63</v>
      </c>
      <c r="F777" s="4">
        <v>132</v>
      </c>
      <c r="G777" s="5">
        <v>17.28</v>
      </c>
      <c r="H777" s="4">
        <v>2</v>
      </c>
    </row>
    <row r="778" spans="1:8" x14ac:dyDescent="0.2">
      <c r="A778" s="2" t="s">
        <v>72</v>
      </c>
      <c r="B778" s="4">
        <v>7</v>
      </c>
      <c r="C778" s="5">
        <v>0.53</v>
      </c>
      <c r="D778" s="4">
        <v>1</v>
      </c>
      <c r="E778" s="5">
        <v>0.18</v>
      </c>
      <c r="F778" s="4">
        <v>6</v>
      </c>
      <c r="G778" s="5">
        <v>0.79</v>
      </c>
      <c r="H778" s="4">
        <v>0</v>
      </c>
    </row>
    <row r="779" spans="1:8" x14ac:dyDescent="0.2">
      <c r="A779" s="2" t="s">
        <v>73</v>
      </c>
      <c r="B779" s="4">
        <v>246</v>
      </c>
      <c r="C779" s="5">
        <v>18.66</v>
      </c>
      <c r="D779" s="4">
        <v>144</v>
      </c>
      <c r="E779" s="5">
        <v>26.52</v>
      </c>
      <c r="F779" s="4">
        <v>102</v>
      </c>
      <c r="G779" s="5">
        <v>13.35</v>
      </c>
      <c r="H779" s="4">
        <v>0</v>
      </c>
    </row>
    <row r="780" spans="1:8" x14ac:dyDescent="0.2">
      <c r="A780" s="2" t="s">
        <v>74</v>
      </c>
      <c r="B780" s="4">
        <v>96</v>
      </c>
      <c r="C780" s="5">
        <v>7.28</v>
      </c>
      <c r="D780" s="4">
        <v>17</v>
      </c>
      <c r="E780" s="5">
        <v>3.13</v>
      </c>
      <c r="F780" s="4">
        <v>78</v>
      </c>
      <c r="G780" s="5">
        <v>10.210000000000001</v>
      </c>
      <c r="H780" s="4">
        <v>0</v>
      </c>
    </row>
    <row r="781" spans="1:8" x14ac:dyDescent="0.2">
      <c r="A781" s="2" t="s">
        <v>75</v>
      </c>
      <c r="B781" s="4">
        <v>100</v>
      </c>
      <c r="C781" s="5">
        <v>7.59</v>
      </c>
      <c r="D781" s="4">
        <v>73</v>
      </c>
      <c r="E781" s="5">
        <v>13.44</v>
      </c>
      <c r="F781" s="4">
        <v>26</v>
      </c>
      <c r="G781" s="5">
        <v>3.4</v>
      </c>
      <c r="H781" s="4">
        <v>0</v>
      </c>
    </row>
    <row r="782" spans="1:8" x14ac:dyDescent="0.2">
      <c r="A782" s="2" t="s">
        <v>76</v>
      </c>
      <c r="B782" s="4">
        <v>127</v>
      </c>
      <c r="C782" s="5">
        <v>9.64</v>
      </c>
      <c r="D782" s="4">
        <v>82</v>
      </c>
      <c r="E782" s="5">
        <v>15.1</v>
      </c>
      <c r="F782" s="4">
        <v>44</v>
      </c>
      <c r="G782" s="5">
        <v>5.76</v>
      </c>
      <c r="H782" s="4">
        <v>0</v>
      </c>
    </row>
    <row r="783" spans="1:8" x14ac:dyDescent="0.2">
      <c r="A783" s="2" t="s">
        <v>77</v>
      </c>
      <c r="B783" s="4">
        <v>43</v>
      </c>
      <c r="C783" s="5">
        <v>3.26</v>
      </c>
      <c r="D783" s="4">
        <v>27</v>
      </c>
      <c r="E783" s="5">
        <v>4.97</v>
      </c>
      <c r="F783" s="4">
        <v>14</v>
      </c>
      <c r="G783" s="5">
        <v>1.83</v>
      </c>
      <c r="H783" s="4">
        <v>0</v>
      </c>
    </row>
    <row r="784" spans="1:8" x14ac:dyDescent="0.2">
      <c r="A784" s="2" t="s">
        <v>78</v>
      </c>
      <c r="B784" s="4">
        <v>62</v>
      </c>
      <c r="C784" s="5">
        <v>4.7</v>
      </c>
      <c r="D784" s="4">
        <v>38</v>
      </c>
      <c r="E784" s="5">
        <v>7</v>
      </c>
      <c r="F784" s="4">
        <v>24</v>
      </c>
      <c r="G784" s="5">
        <v>3.14</v>
      </c>
      <c r="H784" s="4">
        <v>0</v>
      </c>
    </row>
    <row r="785" spans="1:8" x14ac:dyDescent="0.2">
      <c r="A785" s="2" t="s">
        <v>79</v>
      </c>
      <c r="B785" s="4">
        <v>54</v>
      </c>
      <c r="C785" s="5">
        <v>4.0999999999999996</v>
      </c>
      <c r="D785" s="4">
        <v>13</v>
      </c>
      <c r="E785" s="5">
        <v>2.39</v>
      </c>
      <c r="F785" s="4">
        <v>38</v>
      </c>
      <c r="G785" s="5">
        <v>4.97</v>
      </c>
      <c r="H785" s="4">
        <v>2</v>
      </c>
    </row>
    <row r="786" spans="1:8" x14ac:dyDescent="0.2">
      <c r="A786" s="1" t="s">
        <v>49</v>
      </c>
      <c r="B786" s="4">
        <v>1022</v>
      </c>
      <c r="C786" s="5">
        <v>99.999999999999986</v>
      </c>
      <c r="D786" s="4">
        <v>502</v>
      </c>
      <c r="E786" s="5">
        <v>99.99</v>
      </c>
      <c r="F786" s="4">
        <v>516</v>
      </c>
      <c r="G786" s="5">
        <v>100.01</v>
      </c>
      <c r="H786" s="4">
        <v>0</v>
      </c>
    </row>
    <row r="787" spans="1:8" x14ac:dyDescent="0.2">
      <c r="A787" s="2" t="s">
        <v>65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66</v>
      </c>
      <c r="B788" s="4">
        <v>120</v>
      </c>
      <c r="C788" s="5">
        <v>11.74</v>
      </c>
      <c r="D788" s="4">
        <v>27</v>
      </c>
      <c r="E788" s="5">
        <v>5.38</v>
      </c>
      <c r="F788" s="4">
        <v>93</v>
      </c>
      <c r="G788" s="5">
        <v>18.02</v>
      </c>
      <c r="H788" s="4">
        <v>0</v>
      </c>
    </row>
    <row r="789" spans="1:8" x14ac:dyDescent="0.2">
      <c r="A789" s="2" t="s">
        <v>67</v>
      </c>
      <c r="B789" s="4">
        <v>68</v>
      </c>
      <c r="C789" s="5">
        <v>6.65</v>
      </c>
      <c r="D789" s="4">
        <v>14</v>
      </c>
      <c r="E789" s="5">
        <v>2.79</v>
      </c>
      <c r="F789" s="4">
        <v>54</v>
      </c>
      <c r="G789" s="5">
        <v>10.47</v>
      </c>
      <c r="H789" s="4">
        <v>0</v>
      </c>
    </row>
    <row r="790" spans="1:8" x14ac:dyDescent="0.2">
      <c r="A790" s="2" t="s">
        <v>68</v>
      </c>
      <c r="B790" s="4">
        <v>1</v>
      </c>
      <c r="C790" s="5">
        <v>0.1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69</v>
      </c>
      <c r="B791" s="4">
        <v>14</v>
      </c>
      <c r="C791" s="5">
        <v>1.37</v>
      </c>
      <c r="D791" s="4">
        <v>1</v>
      </c>
      <c r="E791" s="5">
        <v>0.2</v>
      </c>
      <c r="F791" s="4">
        <v>13</v>
      </c>
      <c r="G791" s="5">
        <v>2.52</v>
      </c>
      <c r="H791" s="4">
        <v>0</v>
      </c>
    </row>
    <row r="792" spans="1:8" x14ac:dyDescent="0.2">
      <c r="A792" s="2" t="s">
        <v>70</v>
      </c>
      <c r="B792" s="4">
        <v>13</v>
      </c>
      <c r="C792" s="5">
        <v>1.27</v>
      </c>
      <c r="D792" s="4">
        <v>1</v>
      </c>
      <c r="E792" s="5">
        <v>0.2</v>
      </c>
      <c r="F792" s="4">
        <v>12</v>
      </c>
      <c r="G792" s="5">
        <v>2.33</v>
      </c>
      <c r="H792" s="4">
        <v>0</v>
      </c>
    </row>
    <row r="793" spans="1:8" x14ac:dyDescent="0.2">
      <c r="A793" s="2" t="s">
        <v>71</v>
      </c>
      <c r="B793" s="4">
        <v>164</v>
      </c>
      <c r="C793" s="5">
        <v>16.05</v>
      </c>
      <c r="D793" s="4">
        <v>62</v>
      </c>
      <c r="E793" s="5">
        <v>12.35</v>
      </c>
      <c r="F793" s="4">
        <v>102</v>
      </c>
      <c r="G793" s="5">
        <v>19.77</v>
      </c>
      <c r="H793" s="4">
        <v>0</v>
      </c>
    </row>
    <row r="794" spans="1:8" x14ac:dyDescent="0.2">
      <c r="A794" s="2" t="s">
        <v>72</v>
      </c>
      <c r="B794" s="4">
        <v>5</v>
      </c>
      <c r="C794" s="5">
        <v>0.49</v>
      </c>
      <c r="D794" s="4">
        <v>1</v>
      </c>
      <c r="E794" s="5">
        <v>0.2</v>
      </c>
      <c r="F794" s="4">
        <v>4</v>
      </c>
      <c r="G794" s="5">
        <v>0.78</v>
      </c>
      <c r="H794" s="4">
        <v>0</v>
      </c>
    </row>
    <row r="795" spans="1:8" x14ac:dyDescent="0.2">
      <c r="A795" s="2" t="s">
        <v>73</v>
      </c>
      <c r="B795" s="4">
        <v>105</v>
      </c>
      <c r="C795" s="5">
        <v>10.27</v>
      </c>
      <c r="D795" s="4">
        <v>8</v>
      </c>
      <c r="E795" s="5">
        <v>1.59</v>
      </c>
      <c r="F795" s="4">
        <v>97</v>
      </c>
      <c r="G795" s="5">
        <v>18.8</v>
      </c>
      <c r="H795" s="4">
        <v>0</v>
      </c>
    </row>
    <row r="796" spans="1:8" x14ac:dyDescent="0.2">
      <c r="A796" s="2" t="s">
        <v>74</v>
      </c>
      <c r="B796" s="4">
        <v>49</v>
      </c>
      <c r="C796" s="5">
        <v>4.79</v>
      </c>
      <c r="D796" s="4">
        <v>28</v>
      </c>
      <c r="E796" s="5">
        <v>5.58</v>
      </c>
      <c r="F796" s="4">
        <v>21</v>
      </c>
      <c r="G796" s="5">
        <v>4.07</v>
      </c>
      <c r="H796" s="4">
        <v>0</v>
      </c>
    </row>
    <row r="797" spans="1:8" x14ac:dyDescent="0.2">
      <c r="A797" s="2" t="s">
        <v>75</v>
      </c>
      <c r="B797" s="4">
        <v>209</v>
      </c>
      <c r="C797" s="5">
        <v>20.45</v>
      </c>
      <c r="D797" s="4">
        <v>170</v>
      </c>
      <c r="E797" s="5">
        <v>33.86</v>
      </c>
      <c r="F797" s="4">
        <v>39</v>
      </c>
      <c r="G797" s="5">
        <v>7.56</v>
      </c>
      <c r="H797" s="4">
        <v>0</v>
      </c>
    </row>
    <row r="798" spans="1:8" x14ac:dyDescent="0.2">
      <c r="A798" s="2" t="s">
        <v>76</v>
      </c>
      <c r="B798" s="4">
        <v>145</v>
      </c>
      <c r="C798" s="5">
        <v>14.19</v>
      </c>
      <c r="D798" s="4">
        <v>110</v>
      </c>
      <c r="E798" s="5">
        <v>21.91</v>
      </c>
      <c r="F798" s="4">
        <v>35</v>
      </c>
      <c r="G798" s="5">
        <v>6.78</v>
      </c>
      <c r="H798" s="4">
        <v>0</v>
      </c>
    </row>
    <row r="799" spans="1:8" x14ac:dyDescent="0.2">
      <c r="A799" s="2" t="s">
        <v>77</v>
      </c>
      <c r="B799" s="4">
        <v>43</v>
      </c>
      <c r="C799" s="5">
        <v>4.21</v>
      </c>
      <c r="D799" s="4">
        <v>33</v>
      </c>
      <c r="E799" s="5">
        <v>6.57</v>
      </c>
      <c r="F799" s="4">
        <v>10</v>
      </c>
      <c r="G799" s="5">
        <v>1.94</v>
      </c>
      <c r="H799" s="4">
        <v>0</v>
      </c>
    </row>
    <row r="800" spans="1:8" x14ac:dyDescent="0.2">
      <c r="A800" s="2" t="s">
        <v>78</v>
      </c>
      <c r="B800" s="4">
        <v>58</v>
      </c>
      <c r="C800" s="5">
        <v>5.68</v>
      </c>
      <c r="D800" s="4">
        <v>39</v>
      </c>
      <c r="E800" s="5">
        <v>7.77</v>
      </c>
      <c r="F800" s="4">
        <v>17</v>
      </c>
      <c r="G800" s="5">
        <v>3.29</v>
      </c>
      <c r="H800" s="4">
        <v>0</v>
      </c>
    </row>
    <row r="801" spans="1:8" x14ac:dyDescent="0.2">
      <c r="A801" s="2" t="s">
        <v>79</v>
      </c>
      <c r="B801" s="4">
        <v>28</v>
      </c>
      <c r="C801" s="5">
        <v>2.74</v>
      </c>
      <c r="D801" s="4">
        <v>8</v>
      </c>
      <c r="E801" s="5">
        <v>1.59</v>
      </c>
      <c r="F801" s="4">
        <v>19</v>
      </c>
      <c r="G801" s="5">
        <v>3.68</v>
      </c>
      <c r="H801" s="4">
        <v>0</v>
      </c>
    </row>
    <row r="802" spans="1:8" x14ac:dyDescent="0.2">
      <c r="A802" s="1" t="s">
        <v>50</v>
      </c>
      <c r="B802" s="4">
        <v>1360</v>
      </c>
      <c r="C802" s="5">
        <v>100</v>
      </c>
      <c r="D802" s="4">
        <v>667</v>
      </c>
      <c r="E802" s="5">
        <v>100.01</v>
      </c>
      <c r="F802" s="4">
        <v>681</v>
      </c>
      <c r="G802" s="5">
        <v>99.990000000000009</v>
      </c>
      <c r="H802" s="4">
        <v>1</v>
      </c>
    </row>
    <row r="803" spans="1:8" x14ac:dyDescent="0.2">
      <c r="A803" s="2" t="s">
        <v>65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66</v>
      </c>
      <c r="B804" s="4">
        <v>318</v>
      </c>
      <c r="C804" s="5">
        <v>23.38</v>
      </c>
      <c r="D804" s="4">
        <v>109</v>
      </c>
      <c r="E804" s="5">
        <v>16.34</v>
      </c>
      <c r="F804" s="4">
        <v>209</v>
      </c>
      <c r="G804" s="5">
        <v>30.69</v>
      </c>
      <c r="H804" s="4">
        <v>0</v>
      </c>
    </row>
    <row r="805" spans="1:8" x14ac:dyDescent="0.2">
      <c r="A805" s="2" t="s">
        <v>67</v>
      </c>
      <c r="B805" s="4">
        <v>134</v>
      </c>
      <c r="C805" s="5">
        <v>9.85</v>
      </c>
      <c r="D805" s="4">
        <v>40</v>
      </c>
      <c r="E805" s="5">
        <v>6</v>
      </c>
      <c r="F805" s="4">
        <v>94</v>
      </c>
      <c r="G805" s="5">
        <v>13.8</v>
      </c>
      <c r="H805" s="4">
        <v>0</v>
      </c>
    </row>
    <row r="806" spans="1:8" x14ac:dyDescent="0.2">
      <c r="A806" s="2" t="s">
        <v>68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2">
      <c r="A807" s="2" t="s">
        <v>69</v>
      </c>
      <c r="B807" s="4">
        <v>10</v>
      </c>
      <c r="C807" s="5">
        <v>0.74</v>
      </c>
      <c r="D807" s="4">
        <v>0</v>
      </c>
      <c r="E807" s="5">
        <v>0</v>
      </c>
      <c r="F807" s="4">
        <v>10</v>
      </c>
      <c r="G807" s="5">
        <v>1.47</v>
      </c>
      <c r="H807" s="4">
        <v>0</v>
      </c>
    </row>
    <row r="808" spans="1:8" x14ac:dyDescent="0.2">
      <c r="A808" s="2" t="s">
        <v>70</v>
      </c>
      <c r="B808" s="4">
        <v>10</v>
      </c>
      <c r="C808" s="5">
        <v>0.74</v>
      </c>
      <c r="D808" s="4">
        <v>2</v>
      </c>
      <c r="E808" s="5">
        <v>0.3</v>
      </c>
      <c r="F808" s="4">
        <v>8</v>
      </c>
      <c r="G808" s="5">
        <v>1.17</v>
      </c>
      <c r="H808" s="4">
        <v>0</v>
      </c>
    </row>
    <row r="809" spans="1:8" x14ac:dyDescent="0.2">
      <c r="A809" s="2" t="s">
        <v>71</v>
      </c>
      <c r="B809" s="4">
        <v>288</v>
      </c>
      <c r="C809" s="5">
        <v>21.18</v>
      </c>
      <c r="D809" s="4">
        <v>149</v>
      </c>
      <c r="E809" s="5">
        <v>22.34</v>
      </c>
      <c r="F809" s="4">
        <v>139</v>
      </c>
      <c r="G809" s="5">
        <v>20.41</v>
      </c>
      <c r="H809" s="4">
        <v>0</v>
      </c>
    </row>
    <row r="810" spans="1:8" x14ac:dyDescent="0.2">
      <c r="A810" s="2" t="s">
        <v>72</v>
      </c>
      <c r="B810" s="4">
        <v>12</v>
      </c>
      <c r="C810" s="5">
        <v>0.88</v>
      </c>
      <c r="D810" s="4">
        <v>3</v>
      </c>
      <c r="E810" s="5">
        <v>0.45</v>
      </c>
      <c r="F810" s="4">
        <v>9</v>
      </c>
      <c r="G810" s="5">
        <v>1.32</v>
      </c>
      <c r="H810" s="4">
        <v>0</v>
      </c>
    </row>
    <row r="811" spans="1:8" x14ac:dyDescent="0.2">
      <c r="A811" s="2" t="s">
        <v>73</v>
      </c>
      <c r="B811" s="4">
        <v>83</v>
      </c>
      <c r="C811" s="5">
        <v>6.1</v>
      </c>
      <c r="D811" s="4">
        <v>13</v>
      </c>
      <c r="E811" s="5">
        <v>1.95</v>
      </c>
      <c r="F811" s="4">
        <v>70</v>
      </c>
      <c r="G811" s="5">
        <v>10.28</v>
      </c>
      <c r="H811" s="4">
        <v>0</v>
      </c>
    </row>
    <row r="812" spans="1:8" x14ac:dyDescent="0.2">
      <c r="A812" s="2" t="s">
        <v>74</v>
      </c>
      <c r="B812" s="4">
        <v>68</v>
      </c>
      <c r="C812" s="5">
        <v>5</v>
      </c>
      <c r="D812" s="4">
        <v>36</v>
      </c>
      <c r="E812" s="5">
        <v>5.4</v>
      </c>
      <c r="F812" s="4">
        <v>32</v>
      </c>
      <c r="G812" s="5">
        <v>4.7</v>
      </c>
      <c r="H812" s="4">
        <v>0</v>
      </c>
    </row>
    <row r="813" spans="1:8" x14ac:dyDescent="0.2">
      <c r="A813" s="2" t="s">
        <v>75</v>
      </c>
      <c r="B813" s="4">
        <v>128</v>
      </c>
      <c r="C813" s="5">
        <v>9.41</v>
      </c>
      <c r="D813" s="4">
        <v>105</v>
      </c>
      <c r="E813" s="5">
        <v>15.74</v>
      </c>
      <c r="F813" s="4">
        <v>23</v>
      </c>
      <c r="G813" s="5">
        <v>3.38</v>
      </c>
      <c r="H813" s="4">
        <v>0</v>
      </c>
    </row>
    <row r="814" spans="1:8" x14ac:dyDescent="0.2">
      <c r="A814" s="2" t="s">
        <v>76</v>
      </c>
      <c r="B814" s="4">
        <v>157</v>
      </c>
      <c r="C814" s="5">
        <v>11.54</v>
      </c>
      <c r="D814" s="4">
        <v>131</v>
      </c>
      <c r="E814" s="5">
        <v>19.64</v>
      </c>
      <c r="F814" s="4">
        <v>25</v>
      </c>
      <c r="G814" s="5">
        <v>3.67</v>
      </c>
      <c r="H814" s="4">
        <v>0</v>
      </c>
    </row>
    <row r="815" spans="1:8" x14ac:dyDescent="0.2">
      <c r="A815" s="2" t="s">
        <v>77</v>
      </c>
      <c r="B815" s="4">
        <v>36</v>
      </c>
      <c r="C815" s="5">
        <v>2.65</v>
      </c>
      <c r="D815" s="4">
        <v>27</v>
      </c>
      <c r="E815" s="5">
        <v>4.05</v>
      </c>
      <c r="F815" s="4">
        <v>8</v>
      </c>
      <c r="G815" s="5">
        <v>1.17</v>
      </c>
      <c r="H815" s="4">
        <v>0</v>
      </c>
    </row>
    <row r="816" spans="1:8" x14ac:dyDescent="0.2">
      <c r="A816" s="2" t="s">
        <v>78</v>
      </c>
      <c r="B816" s="4">
        <v>65</v>
      </c>
      <c r="C816" s="5">
        <v>4.78</v>
      </c>
      <c r="D816" s="4">
        <v>37</v>
      </c>
      <c r="E816" s="5">
        <v>5.55</v>
      </c>
      <c r="F816" s="4">
        <v>19</v>
      </c>
      <c r="G816" s="5">
        <v>2.79</v>
      </c>
      <c r="H816" s="4">
        <v>0</v>
      </c>
    </row>
    <row r="817" spans="1:8" x14ac:dyDescent="0.2">
      <c r="A817" s="2" t="s">
        <v>79</v>
      </c>
      <c r="B817" s="4">
        <v>51</v>
      </c>
      <c r="C817" s="5">
        <v>3.75</v>
      </c>
      <c r="D817" s="4">
        <v>15</v>
      </c>
      <c r="E817" s="5">
        <v>2.25</v>
      </c>
      <c r="F817" s="4">
        <v>35</v>
      </c>
      <c r="G817" s="5">
        <v>5.14</v>
      </c>
      <c r="H817" s="4">
        <v>1</v>
      </c>
    </row>
    <row r="818" spans="1:8" x14ac:dyDescent="0.2">
      <c r="A818" s="1" t="s">
        <v>51</v>
      </c>
      <c r="B818" s="4">
        <v>2842</v>
      </c>
      <c r="C818" s="5">
        <v>100.02</v>
      </c>
      <c r="D818" s="4">
        <v>1210</v>
      </c>
      <c r="E818" s="5">
        <v>100.01</v>
      </c>
      <c r="F818" s="4">
        <v>1619</v>
      </c>
      <c r="G818" s="5">
        <v>99.990000000000009</v>
      </c>
      <c r="H818" s="4">
        <v>0</v>
      </c>
    </row>
    <row r="819" spans="1:8" x14ac:dyDescent="0.2">
      <c r="A819" s="2" t="s">
        <v>65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2">
      <c r="A820" s="2" t="s">
        <v>66</v>
      </c>
      <c r="B820" s="4">
        <v>383</v>
      </c>
      <c r="C820" s="5">
        <v>13.48</v>
      </c>
      <c r="D820" s="4">
        <v>57</v>
      </c>
      <c r="E820" s="5">
        <v>4.71</v>
      </c>
      <c r="F820" s="4">
        <v>326</v>
      </c>
      <c r="G820" s="5">
        <v>20.14</v>
      </c>
      <c r="H820" s="4">
        <v>0</v>
      </c>
    </row>
    <row r="821" spans="1:8" x14ac:dyDescent="0.2">
      <c r="A821" s="2" t="s">
        <v>67</v>
      </c>
      <c r="B821" s="4">
        <v>109</v>
      </c>
      <c r="C821" s="5">
        <v>3.84</v>
      </c>
      <c r="D821" s="4">
        <v>22</v>
      </c>
      <c r="E821" s="5">
        <v>1.82</v>
      </c>
      <c r="F821" s="4">
        <v>87</v>
      </c>
      <c r="G821" s="5">
        <v>5.37</v>
      </c>
      <c r="H821" s="4">
        <v>0</v>
      </c>
    </row>
    <row r="822" spans="1:8" x14ac:dyDescent="0.2">
      <c r="A822" s="2" t="s">
        <v>68</v>
      </c>
      <c r="B822" s="4">
        <v>1</v>
      </c>
      <c r="C822" s="5">
        <v>0.04</v>
      </c>
      <c r="D822" s="4">
        <v>0</v>
      </c>
      <c r="E822" s="5">
        <v>0</v>
      </c>
      <c r="F822" s="4">
        <v>1</v>
      </c>
      <c r="G822" s="5">
        <v>0.06</v>
      </c>
      <c r="H822" s="4">
        <v>0</v>
      </c>
    </row>
    <row r="823" spans="1:8" x14ac:dyDescent="0.2">
      <c r="A823" s="2" t="s">
        <v>69</v>
      </c>
      <c r="B823" s="4">
        <v>71</v>
      </c>
      <c r="C823" s="5">
        <v>2.5</v>
      </c>
      <c r="D823" s="4">
        <v>3</v>
      </c>
      <c r="E823" s="5">
        <v>0.25</v>
      </c>
      <c r="F823" s="4">
        <v>68</v>
      </c>
      <c r="G823" s="5">
        <v>4.2</v>
      </c>
      <c r="H823" s="4">
        <v>0</v>
      </c>
    </row>
    <row r="824" spans="1:8" x14ac:dyDescent="0.2">
      <c r="A824" s="2" t="s">
        <v>70</v>
      </c>
      <c r="B824" s="4">
        <v>13</v>
      </c>
      <c r="C824" s="5">
        <v>0.46</v>
      </c>
      <c r="D824" s="4">
        <v>3</v>
      </c>
      <c r="E824" s="5">
        <v>0.25</v>
      </c>
      <c r="F824" s="4">
        <v>10</v>
      </c>
      <c r="G824" s="5">
        <v>0.62</v>
      </c>
      <c r="H824" s="4">
        <v>0</v>
      </c>
    </row>
    <row r="825" spans="1:8" x14ac:dyDescent="0.2">
      <c r="A825" s="2" t="s">
        <v>71</v>
      </c>
      <c r="B825" s="4">
        <v>561</v>
      </c>
      <c r="C825" s="5">
        <v>19.739999999999998</v>
      </c>
      <c r="D825" s="4">
        <v>238</v>
      </c>
      <c r="E825" s="5">
        <v>19.670000000000002</v>
      </c>
      <c r="F825" s="4">
        <v>323</v>
      </c>
      <c r="G825" s="5">
        <v>19.95</v>
      </c>
      <c r="H825" s="4">
        <v>0</v>
      </c>
    </row>
    <row r="826" spans="1:8" x14ac:dyDescent="0.2">
      <c r="A826" s="2" t="s">
        <v>72</v>
      </c>
      <c r="B826" s="4">
        <v>17</v>
      </c>
      <c r="C826" s="5">
        <v>0.6</v>
      </c>
      <c r="D826" s="4">
        <v>3</v>
      </c>
      <c r="E826" s="5">
        <v>0.25</v>
      </c>
      <c r="F826" s="4">
        <v>14</v>
      </c>
      <c r="G826" s="5">
        <v>0.86</v>
      </c>
      <c r="H826" s="4">
        <v>0</v>
      </c>
    </row>
    <row r="827" spans="1:8" x14ac:dyDescent="0.2">
      <c r="A827" s="2" t="s">
        <v>73</v>
      </c>
      <c r="B827" s="4">
        <v>393</v>
      </c>
      <c r="C827" s="5">
        <v>13.83</v>
      </c>
      <c r="D827" s="4">
        <v>99</v>
      </c>
      <c r="E827" s="5">
        <v>8.18</v>
      </c>
      <c r="F827" s="4">
        <v>294</v>
      </c>
      <c r="G827" s="5">
        <v>18.16</v>
      </c>
      <c r="H827" s="4">
        <v>0</v>
      </c>
    </row>
    <row r="828" spans="1:8" x14ac:dyDescent="0.2">
      <c r="A828" s="2" t="s">
        <v>74</v>
      </c>
      <c r="B828" s="4">
        <v>225</v>
      </c>
      <c r="C828" s="5">
        <v>7.92</v>
      </c>
      <c r="D828" s="4">
        <v>75</v>
      </c>
      <c r="E828" s="5">
        <v>6.2</v>
      </c>
      <c r="F828" s="4">
        <v>150</v>
      </c>
      <c r="G828" s="5">
        <v>9.26</v>
      </c>
      <c r="H828" s="4">
        <v>0</v>
      </c>
    </row>
    <row r="829" spans="1:8" x14ac:dyDescent="0.2">
      <c r="A829" s="2" t="s">
        <v>75</v>
      </c>
      <c r="B829" s="4">
        <v>286</v>
      </c>
      <c r="C829" s="5">
        <v>10.06</v>
      </c>
      <c r="D829" s="4">
        <v>214</v>
      </c>
      <c r="E829" s="5">
        <v>17.690000000000001</v>
      </c>
      <c r="F829" s="4">
        <v>72</v>
      </c>
      <c r="G829" s="5">
        <v>4.45</v>
      </c>
      <c r="H829" s="4">
        <v>0</v>
      </c>
    </row>
    <row r="830" spans="1:8" x14ac:dyDescent="0.2">
      <c r="A830" s="2" t="s">
        <v>76</v>
      </c>
      <c r="B830" s="4">
        <v>357</v>
      </c>
      <c r="C830" s="5">
        <v>12.56</v>
      </c>
      <c r="D830" s="4">
        <v>244</v>
      </c>
      <c r="E830" s="5">
        <v>20.170000000000002</v>
      </c>
      <c r="F830" s="4">
        <v>113</v>
      </c>
      <c r="G830" s="5">
        <v>6.98</v>
      </c>
      <c r="H830" s="4">
        <v>0</v>
      </c>
    </row>
    <row r="831" spans="1:8" x14ac:dyDescent="0.2">
      <c r="A831" s="2" t="s">
        <v>77</v>
      </c>
      <c r="B831" s="4">
        <v>149</v>
      </c>
      <c r="C831" s="5">
        <v>5.24</v>
      </c>
      <c r="D831" s="4">
        <v>103</v>
      </c>
      <c r="E831" s="5">
        <v>8.51</v>
      </c>
      <c r="F831" s="4">
        <v>45</v>
      </c>
      <c r="G831" s="5">
        <v>2.78</v>
      </c>
      <c r="H831" s="4">
        <v>0</v>
      </c>
    </row>
    <row r="832" spans="1:8" x14ac:dyDescent="0.2">
      <c r="A832" s="2" t="s">
        <v>78</v>
      </c>
      <c r="B832" s="4">
        <v>212</v>
      </c>
      <c r="C832" s="5">
        <v>7.46</v>
      </c>
      <c r="D832" s="4">
        <v>137</v>
      </c>
      <c r="E832" s="5">
        <v>11.32</v>
      </c>
      <c r="F832" s="4">
        <v>63</v>
      </c>
      <c r="G832" s="5">
        <v>3.89</v>
      </c>
      <c r="H832" s="4">
        <v>0</v>
      </c>
    </row>
    <row r="833" spans="1:8" x14ac:dyDescent="0.2">
      <c r="A833" s="2" t="s">
        <v>79</v>
      </c>
      <c r="B833" s="4">
        <v>65</v>
      </c>
      <c r="C833" s="5">
        <v>2.29</v>
      </c>
      <c r="D833" s="4">
        <v>12</v>
      </c>
      <c r="E833" s="5">
        <v>0.99</v>
      </c>
      <c r="F833" s="4">
        <v>53</v>
      </c>
      <c r="G833" s="5">
        <v>3.27</v>
      </c>
      <c r="H833" s="4">
        <v>0</v>
      </c>
    </row>
    <row r="834" spans="1:8" x14ac:dyDescent="0.2">
      <c r="A834" s="1" t="s">
        <v>52</v>
      </c>
      <c r="B834" s="4">
        <v>958</v>
      </c>
      <c r="C834" s="5">
        <v>99.999999999999972</v>
      </c>
      <c r="D834" s="4">
        <v>318</v>
      </c>
      <c r="E834" s="5">
        <v>99.99</v>
      </c>
      <c r="F834" s="4">
        <v>637</v>
      </c>
      <c r="G834" s="5">
        <v>99.99</v>
      </c>
      <c r="H834" s="4">
        <v>0</v>
      </c>
    </row>
    <row r="835" spans="1:8" x14ac:dyDescent="0.2">
      <c r="A835" s="2" t="s">
        <v>65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66</v>
      </c>
      <c r="B836" s="4">
        <v>171</v>
      </c>
      <c r="C836" s="5">
        <v>17.850000000000001</v>
      </c>
      <c r="D836" s="4">
        <v>45</v>
      </c>
      <c r="E836" s="5">
        <v>14.15</v>
      </c>
      <c r="F836" s="4">
        <v>126</v>
      </c>
      <c r="G836" s="5">
        <v>19.78</v>
      </c>
      <c r="H836" s="4">
        <v>0</v>
      </c>
    </row>
    <row r="837" spans="1:8" x14ac:dyDescent="0.2">
      <c r="A837" s="2" t="s">
        <v>67</v>
      </c>
      <c r="B837" s="4">
        <v>285</v>
      </c>
      <c r="C837" s="5">
        <v>29.75</v>
      </c>
      <c r="D837" s="4">
        <v>52</v>
      </c>
      <c r="E837" s="5">
        <v>16.350000000000001</v>
      </c>
      <c r="F837" s="4">
        <v>233</v>
      </c>
      <c r="G837" s="5">
        <v>36.58</v>
      </c>
      <c r="H837" s="4">
        <v>0</v>
      </c>
    </row>
    <row r="838" spans="1:8" x14ac:dyDescent="0.2">
      <c r="A838" s="2" t="s">
        <v>68</v>
      </c>
      <c r="B838" s="4">
        <v>2</v>
      </c>
      <c r="C838" s="5">
        <v>0.21</v>
      </c>
      <c r="D838" s="4">
        <v>0</v>
      </c>
      <c r="E838" s="5">
        <v>0</v>
      </c>
      <c r="F838" s="4">
        <v>2</v>
      </c>
      <c r="G838" s="5">
        <v>0.31</v>
      </c>
      <c r="H838" s="4">
        <v>0</v>
      </c>
    </row>
    <row r="839" spans="1:8" x14ac:dyDescent="0.2">
      <c r="A839" s="2" t="s">
        <v>69</v>
      </c>
      <c r="B839" s="4">
        <v>1</v>
      </c>
      <c r="C839" s="5">
        <v>0.1</v>
      </c>
      <c r="D839" s="4">
        <v>0</v>
      </c>
      <c r="E839" s="5">
        <v>0</v>
      </c>
      <c r="F839" s="4">
        <v>1</v>
      </c>
      <c r="G839" s="5">
        <v>0.16</v>
      </c>
      <c r="H839" s="4">
        <v>0</v>
      </c>
    </row>
    <row r="840" spans="1:8" x14ac:dyDescent="0.2">
      <c r="A840" s="2" t="s">
        <v>70</v>
      </c>
      <c r="B840" s="4">
        <v>19</v>
      </c>
      <c r="C840" s="5">
        <v>1.98</v>
      </c>
      <c r="D840" s="4">
        <v>1</v>
      </c>
      <c r="E840" s="5">
        <v>0.31</v>
      </c>
      <c r="F840" s="4">
        <v>18</v>
      </c>
      <c r="G840" s="5">
        <v>2.83</v>
      </c>
      <c r="H840" s="4">
        <v>0</v>
      </c>
    </row>
    <row r="841" spans="1:8" x14ac:dyDescent="0.2">
      <c r="A841" s="2" t="s">
        <v>71</v>
      </c>
      <c r="B841" s="4">
        <v>179</v>
      </c>
      <c r="C841" s="5">
        <v>18.68</v>
      </c>
      <c r="D841" s="4">
        <v>73</v>
      </c>
      <c r="E841" s="5">
        <v>22.96</v>
      </c>
      <c r="F841" s="4">
        <v>106</v>
      </c>
      <c r="G841" s="5">
        <v>16.64</v>
      </c>
      <c r="H841" s="4">
        <v>0</v>
      </c>
    </row>
    <row r="842" spans="1:8" x14ac:dyDescent="0.2">
      <c r="A842" s="2" t="s">
        <v>72</v>
      </c>
      <c r="B842" s="4">
        <v>4</v>
      </c>
      <c r="C842" s="5">
        <v>0.42</v>
      </c>
      <c r="D842" s="4">
        <v>0</v>
      </c>
      <c r="E842" s="5">
        <v>0</v>
      </c>
      <c r="F842" s="4">
        <v>4</v>
      </c>
      <c r="G842" s="5">
        <v>0.63</v>
      </c>
      <c r="H842" s="4">
        <v>0</v>
      </c>
    </row>
    <row r="843" spans="1:8" x14ac:dyDescent="0.2">
      <c r="A843" s="2" t="s">
        <v>73</v>
      </c>
      <c r="B843" s="4">
        <v>60</v>
      </c>
      <c r="C843" s="5">
        <v>6.26</v>
      </c>
      <c r="D843" s="4">
        <v>1</v>
      </c>
      <c r="E843" s="5">
        <v>0.31</v>
      </c>
      <c r="F843" s="4">
        <v>59</v>
      </c>
      <c r="G843" s="5">
        <v>9.26</v>
      </c>
      <c r="H843" s="4">
        <v>0</v>
      </c>
    </row>
    <row r="844" spans="1:8" x14ac:dyDescent="0.2">
      <c r="A844" s="2" t="s">
        <v>74</v>
      </c>
      <c r="B844" s="4">
        <v>21</v>
      </c>
      <c r="C844" s="5">
        <v>2.19</v>
      </c>
      <c r="D844" s="4">
        <v>10</v>
      </c>
      <c r="E844" s="5">
        <v>3.14</v>
      </c>
      <c r="F844" s="4">
        <v>11</v>
      </c>
      <c r="G844" s="5">
        <v>1.73</v>
      </c>
      <c r="H844" s="4">
        <v>0</v>
      </c>
    </row>
    <row r="845" spans="1:8" x14ac:dyDescent="0.2">
      <c r="A845" s="2" t="s">
        <v>75</v>
      </c>
      <c r="B845" s="4">
        <v>56</v>
      </c>
      <c r="C845" s="5">
        <v>5.85</v>
      </c>
      <c r="D845" s="4">
        <v>40</v>
      </c>
      <c r="E845" s="5">
        <v>12.58</v>
      </c>
      <c r="F845" s="4">
        <v>16</v>
      </c>
      <c r="G845" s="5">
        <v>2.5099999999999998</v>
      </c>
      <c r="H845" s="4">
        <v>0</v>
      </c>
    </row>
    <row r="846" spans="1:8" x14ac:dyDescent="0.2">
      <c r="A846" s="2" t="s">
        <v>76</v>
      </c>
      <c r="B846" s="4">
        <v>59</v>
      </c>
      <c r="C846" s="5">
        <v>6.16</v>
      </c>
      <c r="D846" s="4">
        <v>46</v>
      </c>
      <c r="E846" s="5">
        <v>14.47</v>
      </c>
      <c r="F846" s="4">
        <v>12</v>
      </c>
      <c r="G846" s="5">
        <v>1.88</v>
      </c>
      <c r="H846" s="4">
        <v>0</v>
      </c>
    </row>
    <row r="847" spans="1:8" x14ac:dyDescent="0.2">
      <c r="A847" s="2" t="s">
        <v>77</v>
      </c>
      <c r="B847" s="4">
        <v>15</v>
      </c>
      <c r="C847" s="5">
        <v>1.57</v>
      </c>
      <c r="D847" s="4">
        <v>12</v>
      </c>
      <c r="E847" s="5">
        <v>3.77</v>
      </c>
      <c r="F847" s="4">
        <v>2</v>
      </c>
      <c r="G847" s="5">
        <v>0.31</v>
      </c>
      <c r="H847" s="4">
        <v>0</v>
      </c>
    </row>
    <row r="848" spans="1:8" x14ac:dyDescent="0.2">
      <c r="A848" s="2" t="s">
        <v>78</v>
      </c>
      <c r="B848" s="4">
        <v>31</v>
      </c>
      <c r="C848" s="5">
        <v>3.24</v>
      </c>
      <c r="D848" s="4">
        <v>16</v>
      </c>
      <c r="E848" s="5">
        <v>5.03</v>
      </c>
      <c r="F848" s="4">
        <v>15</v>
      </c>
      <c r="G848" s="5">
        <v>2.35</v>
      </c>
      <c r="H848" s="4">
        <v>0</v>
      </c>
    </row>
    <row r="849" spans="1:8" x14ac:dyDescent="0.2">
      <c r="A849" s="2" t="s">
        <v>79</v>
      </c>
      <c r="B849" s="4">
        <v>55</v>
      </c>
      <c r="C849" s="5">
        <v>5.74</v>
      </c>
      <c r="D849" s="4">
        <v>22</v>
      </c>
      <c r="E849" s="5">
        <v>6.92</v>
      </c>
      <c r="F849" s="4">
        <v>32</v>
      </c>
      <c r="G849" s="5">
        <v>5.0199999999999996</v>
      </c>
      <c r="H849" s="4">
        <v>0</v>
      </c>
    </row>
    <row r="850" spans="1:8" x14ac:dyDescent="0.2">
      <c r="A850" s="1" t="s">
        <v>53</v>
      </c>
      <c r="B850" s="4">
        <v>342</v>
      </c>
      <c r="C850" s="5">
        <v>99.97999999999999</v>
      </c>
      <c r="D850" s="4">
        <v>144</v>
      </c>
      <c r="E850" s="5">
        <v>99.99</v>
      </c>
      <c r="F850" s="4">
        <v>194</v>
      </c>
      <c r="G850" s="5">
        <v>100.00000000000001</v>
      </c>
      <c r="H850" s="4">
        <v>1</v>
      </c>
    </row>
    <row r="851" spans="1:8" x14ac:dyDescent="0.2">
      <c r="A851" s="2" t="s">
        <v>65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66</v>
      </c>
      <c r="B852" s="4">
        <v>75</v>
      </c>
      <c r="C852" s="5">
        <v>21.93</v>
      </c>
      <c r="D852" s="4">
        <v>29</v>
      </c>
      <c r="E852" s="5">
        <v>20.14</v>
      </c>
      <c r="F852" s="4">
        <v>46</v>
      </c>
      <c r="G852" s="5">
        <v>23.71</v>
      </c>
      <c r="H852" s="4">
        <v>0</v>
      </c>
    </row>
    <row r="853" spans="1:8" x14ac:dyDescent="0.2">
      <c r="A853" s="2" t="s">
        <v>67</v>
      </c>
      <c r="B853" s="4">
        <v>55</v>
      </c>
      <c r="C853" s="5">
        <v>16.079999999999998</v>
      </c>
      <c r="D853" s="4">
        <v>14</v>
      </c>
      <c r="E853" s="5">
        <v>9.7200000000000006</v>
      </c>
      <c r="F853" s="4">
        <v>41</v>
      </c>
      <c r="G853" s="5">
        <v>21.13</v>
      </c>
      <c r="H853" s="4">
        <v>0</v>
      </c>
    </row>
    <row r="854" spans="1:8" x14ac:dyDescent="0.2">
      <c r="A854" s="2" t="s">
        <v>68</v>
      </c>
      <c r="B854" s="4">
        <v>1</v>
      </c>
      <c r="C854" s="5">
        <v>0.28999999999999998</v>
      </c>
      <c r="D854" s="4">
        <v>0</v>
      </c>
      <c r="E854" s="5">
        <v>0</v>
      </c>
      <c r="F854" s="4">
        <v>1</v>
      </c>
      <c r="G854" s="5">
        <v>0.52</v>
      </c>
      <c r="H854" s="4">
        <v>0</v>
      </c>
    </row>
    <row r="855" spans="1:8" x14ac:dyDescent="0.2">
      <c r="A855" s="2" t="s">
        <v>69</v>
      </c>
      <c r="B855" s="4">
        <v>3</v>
      </c>
      <c r="C855" s="5">
        <v>0.88</v>
      </c>
      <c r="D855" s="4">
        <v>0</v>
      </c>
      <c r="E855" s="5">
        <v>0</v>
      </c>
      <c r="F855" s="4">
        <v>3</v>
      </c>
      <c r="G855" s="5">
        <v>1.55</v>
      </c>
      <c r="H855" s="4">
        <v>0</v>
      </c>
    </row>
    <row r="856" spans="1:8" x14ac:dyDescent="0.2">
      <c r="A856" s="2" t="s">
        <v>70</v>
      </c>
      <c r="B856" s="4">
        <v>6</v>
      </c>
      <c r="C856" s="5">
        <v>1.75</v>
      </c>
      <c r="D856" s="4">
        <v>0</v>
      </c>
      <c r="E856" s="5">
        <v>0</v>
      </c>
      <c r="F856" s="4">
        <v>6</v>
      </c>
      <c r="G856" s="5">
        <v>3.09</v>
      </c>
      <c r="H856" s="4">
        <v>0</v>
      </c>
    </row>
    <row r="857" spans="1:8" x14ac:dyDescent="0.2">
      <c r="A857" s="2" t="s">
        <v>71</v>
      </c>
      <c r="B857" s="4">
        <v>77</v>
      </c>
      <c r="C857" s="5">
        <v>22.51</v>
      </c>
      <c r="D857" s="4">
        <v>32</v>
      </c>
      <c r="E857" s="5">
        <v>22.22</v>
      </c>
      <c r="F857" s="4">
        <v>44</v>
      </c>
      <c r="G857" s="5">
        <v>22.68</v>
      </c>
      <c r="H857" s="4">
        <v>1</v>
      </c>
    </row>
    <row r="858" spans="1:8" x14ac:dyDescent="0.2">
      <c r="A858" s="2" t="s">
        <v>72</v>
      </c>
      <c r="B858" s="4">
        <v>2</v>
      </c>
      <c r="C858" s="5">
        <v>0.57999999999999996</v>
      </c>
      <c r="D858" s="4">
        <v>1</v>
      </c>
      <c r="E858" s="5">
        <v>0.69</v>
      </c>
      <c r="F858" s="4">
        <v>1</v>
      </c>
      <c r="G858" s="5">
        <v>0.52</v>
      </c>
      <c r="H858" s="4">
        <v>0</v>
      </c>
    </row>
    <row r="859" spans="1:8" x14ac:dyDescent="0.2">
      <c r="A859" s="2" t="s">
        <v>73</v>
      </c>
      <c r="B859" s="4">
        <v>16</v>
      </c>
      <c r="C859" s="5">
        <v>4.68</v>
      </c>
      <c r="D859" s="4">
        <v>2</v>
      </c>
      <c r="E859" s="5">
        <v>1.39</v>
      </c>
      <c r="F859" s="4">
        <v>14</v>
      </c>
      <c r="G859" s="5">
        <v>7.22</v>
      </c>
      <c r="H859" s="4">
        <v>0</v>
      </c>
    </row>
    <row r="860" spans="1:8" x14ac:dyDescent="0.2">
      <c r="A860" s="2" t="s">
        <v>74</v>
      </c>
      <c r="B860" s="4">
        <v>9</v>
      </c>
      <c r="C860" s="5">
        <v>2.63</v>
      </c>
      <c r="D860" s="4">
        <v>5</v>
      </c>
      <c r="E860" s="5">
        <v>3.47</v>
      </c>
      <c r="F860" s="4">
        <v>4</v>
      </c>
      <c r="G860" s="5">
        <v>2.06</v>
      </c>
      <c r="H860" s="4">
        <v>0</v>
      </c>
    </row>
    <row r="861" spans="1:8" x14ac:dyDescent="0.2">
      <c r="A861" s="2" t="s">
        <v>75</v>
      </c>
      <c r="B861" s="4">
        <v>22</v>
      </c>
      <c r="C861" s="5">
        <v>6.43</v>
      </c>
      <c r="D861" s="4">
        <v>18</v>
      </c>
      <c r="E861" s="5">
        <v>12.5</v>
      </c>
      <c r="F861" s="4">
        <v>4</v>
      </c>
      <c r="G861" s="5">
        <v>2.06</v>
      </c>
      <c r="H861" s="4">
        <v>0</v>
      </c>
    </row>
    <row r="862" spans="1:8" x14ac:dyDescent="0.2">
      <c r="A862" s="2" t="s">
        <v>76</v>
      </c>
      <c r="B862" s="4">
        <v>30</v>
      </c>
      <c r="C862" s="5">
        <v>8.77</v>
      </c>
      <c r="D862" s="4">
        <v>23</v>
      </c>
      <c r="E862" s="5">
        <v>15.97</v>
      </c>
      <c r="F862" s="4">
        <v>6</v>
      </c>
      <c r="G862" s="5">
        <v>3.09</v>
      </c>
      <c r="H862" s="4">
        <v>0</v>
      </c>
    </row>
    <row r="863" spans="1:8" x14ac:dyDescent="0.2">
      <c r="A863" s="2" t="s">
        <v>77</v>
      </c>
      <c r="B863" s="4">
        <v>10</v>
      </c>
      <c r="C863" s="5">
        <v>2.92</v>
      </c>
      <c r="D863" s="4">
        <v>9</v>
      </c>
      <c r="E863" s="5">
        <v>6.25</v>
      </c>
      <c r="F863" s="4">
        <v>1</v>
      </c>
      <c r="G863" s="5">
        <v>0.52</v>
      </c>
      <c r="H863" s="4">
        <v>0</v>
      </c>
    </row>
    <row r="864" spans="1:8" x14ac:dyDescent="0.2">
      <c r="A864" s="2" t="s">
        <v>78</v>
      </c>
      <c r="B864" s="4">
        <v>19</v>
      </c>
      <c r="C864" s="5">
        <v>5.56</v>
      </c>
      <c r="D864" s="4">
        <v>7</v>
      </c>
      <c r="E864" s="5">
        <v>4.8600000000000003</v>
      </c>
      <c r="F864" s="4">
        <v>10</v>
      </c>
      <c r="G864" s="5">
        <v>5.15</v>
      </c>
      <c r="H864" s="4">
        <v>0</v>
      </c>
    </row>
    <row r="865" spans="1:8" x14ac:dyDescent="0.2">
      <c r="A865" s="2" t="s">
        <v>79</v>
      </c>
      <c r="B865" s="4">
        <v>17</v>
      </c>
      <c r="C865" s="5">
        <v>4.97</v>
      </c>
      <c r="D865" s="4">
        <v>4</v>
      </c>
      <c r="E865" s="5">
        <v>2.78</v>
      </c>
      <c r="F865" s="4">
        <v>13</v>
      </c>
      <c r="G865" s="5">
        <v>6.7</v>
      </c>
      <c r="H865" s="4">
        <v>0</v>
      </c>
    </row>
    <row r="866" spans="1:8" x14ac:dyDescent="0.2">
      <c r="A866" s="1" t="s">
        <v>54</v>
      </c>
      <c r="B866" s="4">
        <v>111</v>
      </c>
      <c r="C866" s="5">
        <v>99.98</v>
      </c>
      <c r="D866" s="4">
        <v>73</v>
      </c>
      <c r="E866" s="5">
        <v>100.01</v>
      </c>
      <c r="F866" s="4">
        <v>35</v>
      </c>
      <c r="G866" s="5">
        <v>100.00999999999999</v>
      </c>
      <c r="H866" s="4">
        <v>0</v>
      </c>
    </row>
    <row r="867" spans="1:8" x14ac:dyDescent="0.2">
      <c r="A867" s="2" t="s">
        <v>65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66</v>
      </c>
      <c r="B868" s="4">
        <v>25</v>
      </c>
      <c r="C868" s="5">
        <v>22.52</v>
      </c>
      <c r="D868" s="4">
        <v>16</v>
      </c>
      <c r="E868" s="5">
        <v>21.92</v>
      </c>
      <c r="F868" s="4">
        <v>9</v>
      </c>
      <c r="G868" s="5">
        <v>25.71</v>
      </c>
      <c r="H868" s="4">
        <v>0</v>
      </c>
    </row>
    <row r="869" spans="1:8" x14ac:dyDescent="0.2">
      <c r="A869" s="2" t="s">
        <v>67</v>
      </c>
      <c r="B869" s="4">
        <v>11</v>
      </c>
      <c r="C869" s="5">
        <v>9.91</v>
      </c>
      <c r="D869" s="4">
        <v>6</v>
      </c>
      <c r="E869" s="5">
        <v>8.2200000000000006</v>
      </c>
      <c r="F869" s="4">
        <v>5</v>
      </c>
      <c r="G869" s="5">
        <v>14.29</v>
      </c>
      <c r="H869" s="4">
        <v>0</v>
      </c>
    </row>
    <row r="870" spans="1:8" x14ac:dyDescent="0.2">
      <c r="A870" s="2" t="s">
        <v>68</v>
      </c>
      <c r="B870" s="4">
        <v>3</v>
      </c>
      <c r="C870" s="5">
        <v>2.7</v>
      </c>
      <c r="D870" s="4">
        <v>0</v>
      </c>
      <c r="E870" s="5">
        <v>0</v>
      </c>
      <c r="F870" s="4">
        <v>2</v>
      </c>
      <c r="G870" s="5">
        <v>5.71</v>
      </c>
      <c r="H870" s="4">
        <v>0</v>
      </c>
    </row>
    <row r="871" spans="1:8" x14ac:dyDescent="0.2">
      <c r="A871" s="2" t="s">
        <v>69</v>
      </c>
      <c r="B871" s="4">
        <v>1</v>
      </c>
      <c r="C871" s="5">
        <v>0.9</v>
      </c>
      <c r="D871" s="4">
        <v>0</v>
      </c>
      <c r="E871" s="5">
        <v>0</v>
      </c>
      <c r="F871" s="4">
        <v>1</v>
      </c>
      <c r="G871" s="5">
        <v>2.86</v>
      </c>
      <c r="H871" s="4">
        <v>0</v>
      </c>
    </row>
    <row r="872" spans="1:8" x14ac:dyDescent="0.2">
      <c r="A872" s="2" t="s">
        <v>70</v>
      </c>
      <c r="B872" s="4">
        <v>0</v>
      </c>
      <c r="C872" s="5">
        <v>0</v>
      </c>
      <c r="D872" s="4">
        <v>0</v>
      </c>
      <c r="E872" s="5">
        <v>0</v>
      </c>
      <c r="F872" s="4">
        <v>0</v>
      </c>
      <c r="G872" s="5">
        <v>0</v>
      </c>
      <c r="H872" s="4">
        <v>0</v>
      </c>
    </row>
    <row r="873" spans="1:8" x14ac:dyDescent="0.2">
      <c r="A873" s="2" t="s">
        <v>71</v>
      </c>
      <c r="B873" s="4">
        <v>24</v>
      </c>
      <c r="C873" s="5">
        <v>21.62</v>
      </c>
      <c r="D873" s="4">
        <v>19</v>
      </c>
      <c r="E873" s="5">
        <v>26.03</v>
      </c>
      <c r="F873" s="4">
        <v>5</v>
      </c>
      <c r="G873" s="5">
        <v>14.29</v>
      </c>
      <c r="H873" s="4">
        <v>0</v>
      </c>
    </row>
    <row r="874" spans="1:8" x14ac:dyDescent="0.2">
      <c r="A874" s="2" t="s">
        <v>72</v>
      </c>
      <c r="B874" s="4">
        <v>0</v>
      </c>
      <c r="C874" s="5">
        <v>0</v>
      </c>
      <c r="D874" s="4">
        <v>0</v>
      </c>
      <c r="E874" s="5">
        <v>0</v>
      </c>
      <c r="F874" s="4">
        <v>0</v>
      </c>
      <c r="G874" s="5">
        <v>0</v>
      </c>
      <c r="H874" s="4">
        <v>0</v>
      </c>
    </row>
    <row r="875" spans="1:8" x14ac:dyDescent="0.2">
      <c r="A875" s="2" t="s">
        <v>73</v>
      </c>
      <c r="B875" s="4">
        <v>4</v>
      </c>
      <c r="C875" s="5">
        <v>3.6</v>
      </c>
      <c r="D875" s="4">
        <v>2</v>
      </c>
      <c r="E875" s="5">
        <v>2.74</v>
      </c>
      <c r="F875" s="4">
        <v>2</v>
      </c>
      <c r="G875" s="5">
        <v>5.71</v>
      </c>
      <c r="H875" s="4">
        <v>0</v>
      </c>
    </row>
    <row r="876" spans="1:8" x14ac:dyDescent="0.2">
      <c r="A876" s="2" t="s">
        <v>74</v>
      </c>
      <c r="B876" s="4">
        <v>3</v>
      </c>
      <c r="C876" s="5">
        <v>2.7</v>
      </c>
      <c r="D876" s="4">
        <v>1</v>
      </c>
      <c r="E876" s="5">
        <v>1.37</v>
      </c>
      <c r="F876" s="4">
        <v>1</v>
      </c>
      <c r="G876" s="5">
        <v>2.86</v>
      </c>
      <c r="H876" s="4">
        <v>0</v>
      </c>
    </row>
    <row r="877" spans="1:8" x14ac:dyDescent="0.2">
      <c r="A877" s="2" t="s">
        <v>75</v>
      </c>
      <c r="B877" s="4">
        <v>24</v>
      </c>
      <c r="C877" s="5">
        <v>21.62</v>
      </c>
      <c r="D877" s="4">
        <v>19</v>
      </c>
      <c r="E877" s="5">
        <v>26.03</v>
      </c>
      <c r="F877" s="4">
        <v>5</v>
      </c>
      <c r="G877" s="5">
        <v>14.29</v>
      </c>
      <c r="H877" s="4">
        <v>0</v>
      </c>
    </row>
    <row r="878" spans="1:8" x14ac:dyDescent="0.2">
      <c r="A878" s="2" t="s">
        <v>76</v>
      </c>
      <c r="B878" s="4">
        <v>8</v>
      </c>
      <c r="C878" s="5">
        <v>7.21</v>
      </c>
      <c r="D878" s="4">
        <v>7</v>
      </c>
      <c r="E878" s="5">
        <v>9.59</v>
      </c>
      <c r="F878" s="4">
        <v>1</v>
      </c>
      <c r="G878" s="5">
        <v>2.86</v>
      </c>
      <c r="H878" s="4">
        <v>0</v>
      </c>
    </row>
    <row r="879" spans="1:8" x14ac:dyDescent="0.2">
      <c r="A879" s="2" t="s">
        <v>77</v>
      </c>
      <c r="B879" s="4">
        <v>3</v>
      </c>
      <c r="C879" s="5">
        <v>2.7</v>
      </c>
      <c r="D879" s="4">
        <v>2</v>
      </c>
      <c r="E879" s="5">
        <v>2.74</v>
      </c>
      <c r="F879" s="4">
        <v>0</v>
      </c>
      <c r="G879" s="5">
        <v>0</v>
      </c>
      <c r="H879" s="4">
        <v>0</v>
      </c>
    </row>
    <row r="880" spans="1:8" x14ac:dyDescent="0.2">
      <c r="A880" s="2" t="s">
        <v>78</v>
      </c>
      <c r="B880" s="4">
        <v>1</v>
      </c>
      <c r="C880" s="5">
        <v>0.9</v>
      </c>
      <c r="D880" s="4">
        <v>0</v>
      </c>
      <c r="E880" s="5">
        <v>0</v>
      </c>
      <c r="F880" s="4">
        <v>1</v>
      </c>
      <c r="G880" s="5">
        <v>2.86</v>
      </c>
      <c r="H880" s="4">
        <v>0</v>
      </c>
    </row>
    <row r="881" spans="1:8" x14ac:dyDescent="0.2">
      <c r="A881" s="2" t="s">
        <v>79</v>
      </c>
      <c r="B881" s="4">
        <v>4</v>
      </c>
      <c r="C881" s="5">
        <v>3.6</v>
      </c>
      <c r="D881" s="4">
        <v>1</v>
      </c>
      <c r="E881" s="5">
        <v>1.37</v>
      </c>
      <c r="F881" s="4">
        <v>3</v>
      </c>
      <c r="G881" s="5">
        <v>8.57</v>
      </c>
      <c r="H881" s="4">
        <v>0</v>
      </c>
    </row>
    <row r="882" spans="1:8" x14ac:dyDescent="0.2">
      <c r="A882" s="1" t="s">
        <v>55</v>
      </c>
      <c r="B882" s="4">
        <v>129</v>
      </c>
      <c r="C882" s="5">
        <v>100.02999999999999</v>
      </c>
      <c r="D882" s="4">
        <v>73</v>
      </c>
      <c r="E882" s="5">
        <v>100.01</v>
      </c>
      <c r="F882" s="4">
        <v>53</v>
      </c>
      <c r="G882" s="5">
        <v>100.00999999999998</v>
      </c>
      <c r="H882" s="4">
        <v>0</v>
      </c>
    </row>
    <row r="883" spans="1:8" x14ac:dyDescent="0.2">
      <c r="A883" s="2" t="s">
        <v>65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66</v>
      </c>
      <c r="B884" s="4">
        <v>26</v>
      </c>
      <c r="C884" s="5">
        <v>20.16</v>
      </c>
      <c r="D884" s="4">
        <v>14</v>
      </c>
      <c r="E884" s="5">
        <v>19.18</v>
      </c>
      <c r="F884" s="4">
        <v>12</v>
      </c>
      <c r="G884" s="5">
        <v>22.64</v>
      </c>
      <c r="H884" s="4">
        <v>0</v>
      </c>
    </row>
    <row r="885" spans="1:8" x14ac:dyDescent="0.2">
      <c r="A885" s="2" t="s">
        <v>67</v>
      </c>
      <c r="B885" s="4">
        <v>12</v>
      </c>
      <c r="C885" s="5">
        <v>9.3000000000000007</v>
      </c>
      <c r="D885" s="4">
        <v>5</v>
      </c>
      <c r="E885" s="5">
        <v>6.85</v>
      </c>
      <c r="F885" s="4">
        <v>7</v>
      </c>
      <c r="G885" s="5">
        <v>13.21</v>
      </c>
      <c r="H885" s="4">
        <v>0</v>
      </c>
    </row>
    <row r="886" spans="1:8" x14ac:dyDescent="0.2">
      <c r="A886" s="2" t="s">
        <v>68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2">
      <c r="A887" s="2" t="s">
        <v>69</v>
      </c>
      <c r="B887" s="4">
        <v>0</v>
      </c>
      <c r="C887" s="5">
        <v>0</v>
      </c>
      <c r="D887" s="4">
        <v>0</v>
      </c>
      <c r="E887" s="5">
        <v>0</v>
      </c>
      <c r="F887" s="4">
        <v>0</v>
      </c>
      <c r="G887" s="5">
        <v>0</v>
      </c>
      <c r="H887" s="4">
        <v>0</v>
      </c>
    </row>
    <row r="888" spans="1:8" x14ac:dyDescent="0.2">
      <c r="A888" s="2" t="s">
        <v>70</v>
      </c>
      <c r="B888" s="4">
        <v>1</v>
      </c>
      <c r="C888" s="5">
        <v>0.78</v>
      </c>
      <c r="D888" s="4">
        <v>0</v>
      </c>
      <c r="E888" s="5">
        <v>0</v>
      </c>
      <c r="F888" s="4">
        <v>1</v>
      </c>
      <c r="G888" s="5">
        <v>1.89</v>
      </c>
      <c r="H888" s="4">
        <v>0</v>
      </c>
    </row>
    <row r="889" spans="1:8" x14ac:dyDescent="0.2">
      <c r="A889" s="2" t="s">
        <v>71</v>
      </c>
      <c r="B889" s="4">
        <v>30</v>
      </c>
      <c r="C889" s="5">
        <v>23.26</v>
      </c>
      <c r="D889" s="4">
        <v>16</v>
      </c>
      <c r="E889" s="5">
        <v>21.92</v>
      </c>
      <c r="F889" s="4">
        <v>14</v>
      </c>
      <c r="G889" s="5">
        <v>26.42</v>
      </c>
      <c r="H889" s="4">
        <v>0</v>
      </c>
    </row>
    <row r="890" spans="1:8" x14ac:dyDescent="0.2">
      <c r="A890" s="2" t="s">
        <v>72</v>
      </c>
      <c r="B890" s="4">
        <v>1</v>
      </c>
      <c r="C890" s="5">
        <v>0.78</v>
      </c>
      <c r="D890" s="4">
        <v>0</v>
      </c>
      <c r="E890" s="5">
        <v>0</v>
      </c>
      <c r="F890" s="4">
        <v>1</v>
      </c>
      <c r="G890" s="5">
        <v>1.89</v>
      </c>
      <c r="H890" s="4">
        <v>0</v>
      </c>
    </row>
    <row r="891" spans="1:8" x14ac:dyDescent="0.2">
      <c r="A891" s="2" t="s">
        <v>73</v>
      </c>
      <c r="B891" s="4">
        <v>3</v>
      </c>
      <c r="C891" s="5">
        <v>2.33</v>
      </c>
      <c r="D891" s="4">
        <v>0</v>
      </c>
      <c r="E891" s="5">
        <v>0</v>
      </c>
      <c r="F891" s="4">
        <v>3</v>
      </c>
      <c r="G891" s="5">
        <v>5.66</v>
      </c>
      <c r="H891" s="4">
        <v>0</v>
      </c>
    </row>
    <row r="892" spans="1:8" x14ac:dyDescent="0.2">
      <c r="A892" s="2" t="s">
        <v>74</v>
      </c>
      <c r="B892" s="4">
        <v>3</v>
      </c>
      <c r="C892" s="5">
        <v>2.33</v>
      </c>
      <c r="D892" s="4">
        <v>1</v>
      </c>
      <c r="E892" s="5">
        <v>1.37</v>
      </c>
      <c r="F892" s="4">
        <v>2</v>
      </c>
      <c r="G892" s="5">
        <v>3.77</v>
      </c>
      <c r="H892" s="4">
        <v>0</v>
      </c>
    </row>
    <row r="893" spans="1:8" x14ac:dyDescent="0.2">
      <c r="A893" s="2" t="s">
        <v>75</v>
      </c>
      <c r="B893" s="4">
        <v>34</v>
      </c>
      <c r="C893" s="5">
        <v>26.36</v>
      </c>
      <c r="D893" s="4">
        <v>28</v>
      </c>
      <c r="E893" s="5">
        <v>38.36</v>
      </c>
      <c r="F893" s="4">
        <v>6</v>
      </c>
      <c r="G893" s="5">
        <v>11.32</v>
      </c>
      <c r="H893" s="4">
        <v>0</v>
      </c>
    </row>
    <row r="894" spans="1:8" x14ac:dyDescent="0.2">
      <c r="A894" s="2" t="s">
        <v>76</v>
      </c>
      <c r="B894" s="4">
        <v>10</v>
      </c>
      <c r="C894" s="5">
        <v>7.75</v>
      </c>
      <c r="D894" s="4">
        <v>6</v>
      </c>
      <c r="E894" s="5">
        <v>8.2200000000000006</v>
      </c>
      <c r="F894" s="4">
        <v>3</v>
      </c>
      <c r="G894" s="5">
        <v>5.66</v>
      </c>
      <c r="H894" s="4">
        <v>0</v>
      </c>
    </row>
    <row r="895" spans="1:8" x14ac:dyDescent="0.2">
      <c r="A895" s="2" t="s">
        <v>77</v>
      </c>
      <c r="B895" s="4">
        <v>2</v>
      </c>
      <c r="C895" s="5">
        <v>1.55</v>
      </c>
      <c r="D895" s="4">
        <v>0</v>
      </c>
      <c r="E895" s="5">
        <v>0</v>
      </c>
      <c r="F895" s="4">
        <v>1</v>
      </c>
      <c r="G895" s="5">
        <v>1.89</v>
      </c>
      <c r="H895" s="4">
        <v>0</v>
      </c>
    </row>
    <row r="896" spans="1:8" x14ac:dyDescent="0.2">
      <c r="A896" s="2" t="s">
        <v>78</v>
      </c>
      <c r="B896" s="4">
        <v>2</v>
      </c>
      <c r="C896" s="5">
        <v>1.55</v>
      </c>
      <c r="D896" s="4">
        <v>1</v>
      </c>
      <c r="E896" s="5">
        <v>1.37</v>
      </c>
      <c r="F896" s="4">
        <v>1</v>
      </c>
      <c r="G896" s="5">
        <v>1.89</v>
      </c>
      <c r="H896" s="4">
        <v>0</v>
      </c>
    </row>
    <row r="897" spans="1:8" x14ac:dyDescent="0.2">
      <c r="A897" s="2" t="s">
        <v>79</v>
      </c>
      <c r="B897" s="4">
        <v>5</v>
      </c>
      <c r="C897" s="5">
        <v>3.88</v>
      </c>
      <c r="D897" s="4">
        <v>2</v>
      </c>
      <c r="E897" s="5">
        <v>2.74</v>
      </c>
      <c r="F897" s="4">
        <v>2</v>
      </c>
      <c r="G897" s="5">
        <v>3.77</v>
      </c>
      <c r="H897" s="4">
        <v>0</v>
      </c>
    </row>
    <row r="898" spans="1:8" x14ac:dyDescent="0.2">
      <c r="A898" s="1" t="s">
        <v>56</v>
      </c>
      <c r="B898" s="4">
        <v>375</v>
      </c>
      <c r="C898" s="5">
        <v>100.01</v>
      </c>
      <c r="D898" s="4">
        <v>235</v>
      </c>
      <c r="E898" s="5">
        <v>100</v>
      </c>
      <c r="F898" s="4">
        <v>132</v>
      </c>
      <c r="G898" s="5">
        <v>100.03000000000002</v>
      </c>
      <c r="H898" s="4">
        <v>0</v>
      </c>
    </row>
    <row r="899" spans="1:8" x14ac:dyDescent="0.2">
      <c r="A899" s="2" t="s">
        <v>65</v>
      </c>
      <c r="B899" s="4">
        <v>1</v>
      </c>
      <c r="C899" s="5">
        <v>0.27</v>
      </c>
      <c r="D899" s="4">
        <v>0</v>
      </c>
      <c r="E899" s="5">
        <v>0</v>
      </c>
      <c r="F899" s="4">
        <v>1</v>
      </c>
      <c r="G899" s="5">
        <v>0.76</v>
      </c>
      <c r="H899" s="4">
        <v>0</v>
      </c>
    </row>
    <row r="900" spans="1:8" x14ac:dyDescent="0.2">
      <c r="A900" s="2" t="s">
        <v>66</v>
      </c>
      <c r="B900" s="4">
        <v>49</v>
      </c>
      <c r="C900" s="5">
        <v>13.07</v>
      </c>
      <c r="D900" s="4">
        <v>21</v>
      </c>
      <c r="E900" s="5">
        <v>8.94</v>
      </c>
      <c r="F900" s="4">
        <v>28</v>
      </c>
      <c r="G900" s="5">
        <v>21.21</v>
      </c>
      <c r="H900" s="4">
        <v>0</v>
      </c>
    </row>
    <row r="901" spans="1:8" x14ac:dyDescent="0.2">
      <c r="A901" s="2" t="s">
        <v>67</v>
      </c>
      <c r="B901" s="4">
        <v>22</v>
      </c>
      <c r="C901" s="5">
        <v>5.87</v>
      </c>
      <c r="D901" s="4">
        <v>7</v>
      </c>
      <c r="E901" s="5">
        <v>2.98</v>
      </c>
      <c r="F901" s="4">
        <v>15</v>
      </c>
      <c r="G901" s="5">
        <v>11.36</v>
      </c>
      <c r="H901" s="4">
        <v>0</v>
      </c>
    </row>
    <row r="902" spans="1:8" x14ac:dyDescent="0.2">
      <c r="A902" s="2" t="s">
        <v>68</v>
      </c>
      <c r="B902" s="4">
        <v>2</v>
      </c>
      <c r="C902" s="5">
        <v>0.53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2">
      <c r="A903" s="2" t="s">
        <v>69</v>
      </c>
      <c r="B903" s="4">
        <v>1</v>
      </c>
      <c r="C903" s="5">
        <v>0.27</v>
      </c>
      <c r="D903" s="4">
        <v>0</v>
      </c>
      <c r="E903" s="5">
        <v>0</v>
      </c>
      <c r="F903" s="4">
        <v>1</v>
      </c>
      <c r="G903" s="5">
        <v>0.76</v>
      </c>
      <c r="H903" s="4">
        <v>0</v>
      </c>
    </row>
    <row r="904" spans="1:8" x14ac:dyDescent="0.2">
      <c r="A904" s="2" t="s">
        <v>70</v>
      </c>
      <c r="B904" s="4">
        <v>6</v>
      </c>
      <c r="C904" s="5">
        <v>1.6</v>
      </c>
      <c r="D904" s="4">
        <v>4</v>
      </c>
      <c r="E904" s="5">
        <v>1.7</v>
      </c>
      <c r="F904" s="4">
        <v>2</v>
      </c>
      <c r="G904" s="5">
        <v>1.52</v>
      </c>
      <c r="H904" s="4">
        <v>0</v>
      </c>
    </row>
    <row r="905" spans="1:8" x14ac:dyDescent="0.2">
      <c r="A905" s="2" t="s">
        <v>71</v>
      </c>
      <c r="B905" s="4">
        <v>120</v>
      </c>
      <c r="C905" s="5">
        <v>32</v>
      </c>
      <c r="D905" s="4">
        <v>76</v>
      </c>
      <c r="E905" s="5">
        <v>32.340000000000003</v>
      </c>
      <c r="F905" s="4">
        <v>43</v>
      </c>
      <c r="G905" s="5">
        <v>32.58</v>
      </c>
      <c r="H905" s="4">
        <v>0</v>
      </c>
    </row>
    <row r="906" spans="1:8" x14ac:dyDescent="0.2">
      <c r="A906" s="2" t="s">
        <v>72</v>
      </c>
      <c r="B906" s="4">
        <v>3</v>
      </c>
      <c r="C906" s="5">
        <v>0.8</v>
      </c>
      <c r="D906" s="4">
        <v>1</v>
      </c>
      <c r="E906" s="5">
        <v>0.43</v>
      </c>
      <c r="F906" s="4">
        <v>2</v>
      </c>
      <c r="G906" s="5">
        <v>1.52</v>
      </c>
      <c r="H906" s="4">
        <v>0</v>
      </c>
    </row>
    <row r="907" spans="1:8" x14ac:dyDescent="0.2">
      <c r="A907" s="2" t="s">
        <v>73</v>
      </c>
      <c r="B907" s="4">
        <v>7</v>
      </c>
      <c r="C907" s="5">
        <v>1.87</v>
      </c>
      <c r="D907" s="4">
        <v>6</v>
      </c>
      <c r="E907" s="5">
        <v>2.5499999999999998</v>
      </c>
      <c r="F907" s="4">
        <v>1</v>
      </c>
      <c r="G907" s="5">
        <v>0.76</v>
      </c>
      <c r="H907" s="4">
        <v>0</v>
      </c>
    </row>
    <row r="908" spans="1:8" x14ac:dyDescent="0.2">
      <c r="A908" s="2" t="s">
        <v>74</v>
      </c>
      <c r="B908" s="4">
        <v>8</v>
      </c>
      <c r="C908" s="5">
        <v>2.13</v>
      </c>
      <c r="D908" s="4">
        <v>4</v>
      </c>
      <c r="E908" s="5">
        <v>1.7</v>
      </c>
      <c r="F908" s="4">
        <v>4</v>
      </c>
      <c r="G908" s="5">
        <v>3.03</v>
      </c>
      <c r="H908" s="4">
        <v>0</v>
      </c>
    </row>
    <row r="909" spans="1:8" x14ac:dyDescent="0.2">
      <c r="A909" s="2" t="s">
        <v>75</v>
      </c>
      <c r="B909" s="4">
        <v>95</v>
      </c>
      <c r="C909" s="5">
        <v>25.33</v>
      </c>
      <c r="D909" s="4">
        <v>76</v>
      </c>
      <c r="E909" s="5">
        <v>32.340000000000003</v>
      </c>
      <c r="F909" s="4">
        <v>18</v>
      </c>
      <c r="G909" s="5">
        <v>13.64</v>
      </c>
      <c r="H909" s="4">
        <v>0</v>
      </c>
    </row>
    <row r="910" spans="1:8" x14ac:dyDescent="0.2">
      <c r="A910" s="2" t="s">
        <v>76</v>
      </c>
      <c r="B910" s="4">
        <v>32</v>
      </c>
      <c r="C910" s="5">
        <v>8.5299999999999994</v>
      </c>
      <c r="D910" s="4">
        <v>25</v>
      </c>
      <c r="E910" s="5">
        <v>10.64</v>
      </c>
      <c r="F910" s="4">
        <v>5</v>
      </c>
      <c r="G910" s="5">
        <v>3.79</v>
      </c>
      <c r="H910" s="4">
        <v>0</v>
      </c>
    </row>
    <row r="911" spans="1:8" x14ac:dyDescent="0.2">
      <c r="A911" s="2" t="s">
        <v>77</v>
      </c>
      <c r="B911" s="4">
        <v>9</v>
      </c>
      <c r="C911" s="5">
        <v>2.4</v>
      </c>
      <c r="D911" s="4">
        <v>6</v>
      </c>
      <c r="E911" s="5">
        <v>2.5499999999999998</v>
      </c>
      <c r="F911" s="4">
        <v>1</v>
      </c>
      <c r="G911" s="5">
        <v>0.76</v>
      </c>
      <c r="H911" s="4">
        <v>0</v>
      </c>
    </row>
    <row r="912" spans="1:8" x14ac:dyDescent="0.2">
      <c r="A912" s="2" t="s">
        <v>78</v>
      </c>
      <c r="B912" s="4">
        <v>10</v>
      </c>
      <c r="C912" s="5">
        <v>2.67</v>
      </c>
      <c r="D912" s="4">
        <v>4</v>
      </c>
      <c r="E912" s="5">
        <v>1.7</v>
      </c>
      <c r="F912" s="4">
        <v>6</v>
      </c>
      <c r="G912" s="5">
        <v>4.55</v>
      </c>
      <c r="H912" s="4">
        <v>0</v>
      </c>
    </row>
    <row r="913" spans="1:8" x14ac:dyDescent="0.2">
      <c r="A913" s="2" t="s">
        <v>79</v>
      </c>
      <c r="B913" s="4">
        <v>10</v>
      </c>
      <c r="C913" s="5">
        <v>2.67</v>
      </c>
      <c r="D913" s="4">
        <v>5</v>
      </c>
      <c r="E913" s="5">
        <v>2.13</v>
      </c>
      <c r="F913" s="4">
        <v>5</v>
      </c>
      <c r="G913" s="5">
        <v>3.79</v>
      </c>
      <c r="H913" s="4">
        <v>0</v>
      </c>
    </row>
    <row r="914" spans="1:8" x14ac:dyDescent="0.2">
      <c r="A914" s="1" t="s">
        <v>57</v>
      </c>
      <c r="B914" s="4">
        <v>21</v>
      </c>
      <c r="C914" s="5">
        <v>100</v>
      </c>
      <c r="D914" s="4">
        <v>15</v>
      </c>
      <c r="E914" s="5">
        <v>100</v>
      </c>
      <c r="F914" s="4">
        <v>4</v>
      </c>
      <c r="G914" s="5">
        <v>100</v>
      </c>
      <c r="H914" s="4">
        <v>0</v>
      </c>
    </row>
    <row r="915" spans="1:8" x14ac:dyDescent="0.2">
      <c r="A915" s="2" t="s">
        <v>65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66</v>
      </c>
      <c r="B916" s="4">
        <v>3</v>
      </c>
      <c r="C916" s="5">
        <v>14.29</v>
      </c>
      <c r="D916" s="4">
        <v>2</v>
      </c>
      <c r="E916" s="5">
        <v>13.33</v>
      </c>
      <c r="F916" s="4">
        <v>1</v>
      </c>
      <c r="G916" s="5">
        <v>25</v>
      </c>
      <c r="H916" s="4">
        <v>0</v>
      </c>
    </row>
    <row r="917" spans="1:8" x14ac:dyDescent="0.2">
      <c r="A917" s="2" t="s">
        <v>67</v>
      </c>
      <c r="B917" s="4">
        <v>1</v>
      </c>
      <c r="C917" s="5">
        <v>4.76</v>
      </c>
      <c r="D917" s="4">
        <v>0</v>
      </c>
      <c r="E917" s="5">
        <v>0</v>
      </c>
      <c r="F917" s="4">
        <v>1</v>
      </c>
      <c r="G917" s="5">
        <v>25</v>
      </c>
      <c r="H917" s="4">
        <v>0</v>
      </c>
    </row>
    <row r="918" spans="1:8" x14ac:dyDescent="0.2">
      <c r="A918" s="2" t="s">
        <v>68</v>
      </c>
      <c r="B918" s="4">
        <v>1</v>
      </c>
      <c r="C918" s="5">
        <v>4.76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2">
      <c r="A919" s="2" t="s">
        <v>69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2">
      <c r="A920" s="2" t="s">
        <v>70</v>
      </c>
      <c r="B920" s="4">
        <v>1</v>
      </c>
      <c r="C920" s="5">
        <v>4.76</v>
      </c>
      <c r="D920" s="4">
        <v>0</v>
      </c>
      <c r="E920" s="5">
        <v>0</v>
      </c>
      <c r="F920" s="4">
        <v>1</v>
      </c>
      <c r="G920" s="5">
        <v>25</v>
      </c>
      <c r="H920" s="4">
        <v>0</v>
      </c>
    </row>
    <row r="921" spans="1:8" x14ac:dyDescent="0.2">
      <c r="A921" s="2" t="s">
        <v>71</v>
      </c>
      <c r="B921" s="4">
        <v>4</v>
      </c>
      <c r="C921" s="5">
        <v>19.05</v>
      </c>
      <c r="D921" s="4">
        <v>4</v>
      </c>
      <c r="E921" s="5">
        <v>26.67</v>
      </c>
      <c r="F921" s="4">
        <v>0</v>
      </c>
      <c r="G921" s="5">
        <v>0</v>
      </c>
      <c r="H921" s="4">
        <v>0</v>
      </c>
    </row>
    <row r="922" spans="1:8" x14ac:dyDescent="0.2">
      <c r="A922" s="2" t="s">
        <v>72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2">
      <c r="A923" s="2" t="s">
        <v>73</v>
      </c>
      <c r="B923" s="4">
        <v>0</v>
      </c>
      <c r="C923" s="5">
        <v>0</v>
      </c>
      <c r="D923" s="4">
        <v>0</v>
      </c>
      <c r="E923" s="5">
        <v>0</v>
      </c>
      <c r="F923" s="4">
        <v>0</v>
      </c>
      <c r="G923" s="5">
        <v>0</v>
      </c>
      <c r="H923" s="4">
        <v>0</v>
      </c>
    </row>
    <row r="924" spans="1:8" x14ac:dyDescent="0.2">
      <c r="A924" s="2" t="s">
        <v>74</v>
      </c>
      <c r="B924" s="4">
        <v>0</v>
      </c>
      <c r="C924" s="5">
        <v>0</v>
      </c>
      <c r="D924" s="4">
        <v>0</v>
      </c>
      <c r="E924" s="5">
        <v>0</v>
      </c>
      <c r="F924" s="4">
        <v>0</v>
      </c>
      <c r="G924" s="5">
        <v>0</v>
      </c>
      <c r="H924" s="4">
        <v>0</v>
      </c>
    </row>
    <row r="925" spans="1:8" x14ac:dyDescent="0.2">
      <c r="A925" s="2" t="s">
        <v>75</v>
      </c>
      <c r="B925" s="4">
        <v>8</v>
      </c>
      <c r="C925" s="5">
        <v>38.1</v>
      </c>
      <c r="D925" s="4">
        <v>8</v>
      </c>
      <c r="E925" s="5">
        <v>53.33</v>
      </c>
      <c r="F925" s="4">
        <v>0</v>
      </c>
      <c r="G925" s="5">
        <v>0</v>
      </c>
      <c r="H925" s="4">
        <v>0</v>
      </c>
    </row>
    <row r="926" spans="1:8" x14ac:dyDescent="0.2">
      <c r="A926" s="2" t="s">
        <v>76</v>
      </c>
      <c r="B926" s="4">
        <v>1</v>
      </c>
      <c r="C926" s="5">
        <v>4.76</v>
      </c>
      <c r="D926" s="4">
        <v>1</v>
      </c>
      <c r="E926" s="5">
        <v>6.67</v>
      </c>
      <c r="F926" s="4">
        <v>0</v>
      </c>
      <c r="G926" s="5">
        <v>0</v>
      </c>
      <c r="H926" s="4">
        <v>0</v>
      </c>
    </row>
    <row r="927" spans="1:8" x14ac:dyDescent="0.2">
      <c r="A927" s="2" t="s">
        <v>77</v>
      </c>
      <c r="B927" s="4">
        <v>0</v>
      </c>
      <c r="C927" s="5">
        <v>0</v>
      </c>
      <c r="D927" s="4">
        <v>0</v>
      </c>
      <c r="E927" s="5">
        <v>0</v>
      </c>
      <c r="F927" s="4">
        <v>0</v>
      </c>
      <c r="G927" s="5">
        <v>0</v>
      </c>
      <c r="H927" s="4">
        <v>0</v>
      </c>
    </row>
    <row r="928" spans="1:8" x14ac:dyDescent="0.2">
      <c r="A928" s="2" t="s">
        <v>78</v>
      </c>
      <c r="B928" s="4">
        <v>0</v>
      </c>
      <c r="C928" s="5">
        <v>0</v>
      </c>
      <c r="D928" s="4">
        <v>0</v>
      </c>
      <c r="E928" s="5">
        <v>0</v>
      </c>
      <c r="F928" s="4">
        <v>0</v>
      </c>
      <c r="G928" s="5">
        <v>0</v>
      </c>
      <c r="H928" s="4">
        <v>0</v>
      </c>
    </row>
    <row r="929" spans="1:8" x14ac:dyDescent="0.2">
      <c r="A929" s="2" t="s">
        <v>79</v>
      </c>
      <c r="B929" s="4">
        <v>2</v>
      </c>
      <c r="C929" s="5">
        <v>9.52</v>
      </c>
      <c r="D929" s="4">
        <v>0</v>
      </c>
      <c r="E929" s="5">
        <v>0</v>
      </c>
      <c r="F929" s="4">
        <v>1</v>
      </c>
      <c r="G929" s="5">
        <v>25</v>
      </c>
      <c r="H929" s="4">
        <v>0</v>
      </c>
    </row>
    <row r="930" spans="1:8" x14ac:dyDescent="0.2">
      <c r="A930" s="1" t="s">
        <v>58</v>
      </c>
      <c r="B930" s="4">
        <v>156</v>
      </c>
      <c r="C930" s="5">
        <v>100</v>
      </c>
      <c r="D930" s="4">
        <v>123</v>
      </c>
      <c r="E930" s="5">
        <v>100</v>
      </c>
      <c r="F930" s="4">
        <v>24</v>
      </c>
      <c r="G930" s="5">
        <v>100</v>
      </c>
      <c r="H930" s="4">
        <v>0</v>
      </c>
    </row>
    <row r="931" spans="1:8" x14ac:dyDescent="0.2">
      <c r="A931" s="2" t="s">
        <v>65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66</v>
      </c>
      <c r="B932" s="4">
        <v>15</v>
      </c>
      <c r="C932" s="5">
        <v>9.6199999999999992</v>
      </c>
      <c r="D932" s="4">
        <v>10</v>
      </c>
      <c r="E932" s="5">
        <v>8.1300000000000008</v>
      </c>
      <c r="F932" s="4">
        <v>5</v>
      </c>
      <c r="G932" s="5">
        <v>20.83</v>
      </c>
      <c r="H932" s="4">
        <v>0</v>
      </c>
    </row>
    <row r="933" spans="1:8" x14ac:dyDescent="0.2">
      <c r="A933" s="2" t="s">
        <v>67</v>
      </c>
      <c r="B933" s="4">
        <v>9</v>
      </c>
      <c r="C933" s="5">
        <v>5.77</v>
      </c>
      <c r="D933" s="4">
        <v>4</v>
      </c>
      <c r="E933" s="5">
        <v>3.25</v>
      </c>
      <c r="F933" s="4">
        <v>5</v>
      </c>
      <c r="G933" s="5">
        <v>20.83</v>
      </c>
      <c r="H933" s="4">
        <v>0</v>
      </c>
    </row>
    <row r="934" spans="1:8" x14ac:dyDescent="0.2">
      <c r="A934" s="2" t="s">
        <v>68</v>
      </c>
      <c r="B934" s="4">
        <v>2</v>
      </c>
      <c r="C934" s="5">
        <v>1.28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2">
      <c r="A935" s="2" t="s">
        <v>69</v>
      </c>
      <c r="B935" s="4">
        <v>0</v>
      </c>
      <c r="C935" s="5">
        <v>0</v>
      </c>
      <c r="D935" s="4">
        <v>0</v>
      </c>
      <c r="E935" s="5">
        <v>0</v>
      </c>
      <c r="F935" s="4">
        <v>0</v>
      </c>
      <c r="G935" s="5">
        <v>0</v>
      </c>
      <c r="H935" s="4">
        <v>0</v>
      </c>
    </row>
    <row r="936" spans="1:8" x14ac:dyDescent="0.2">
      <c r="A936" s="2" t="s">
        <v>70</v>
      </c>
      <c r="B936" s="4">
        <v>7</v>
      </c>
      <c r="C936" s="5">
        <v>4.49</v>
      </c>
      <c r="D936" s="4">
        <v>2</v>
      </c>
      <c r="E936" s="5">
        <v>1.63</v>
      </c>
      <c r="F936" s="4">
        <v>4</v>
      </c>
      <c r="G936" s="5">
        <v>16.670000000000002</v>
      </c>
      <c r="H936" s="4">
        <v>0</v>
      </c>
    </row>
    <row r="937" spans="1:8" x14ac:dyDescent="0.2">
      <c r="A937" s="2" t="s">
        <v>71</v>
      </c>
      <c r="B937" s="4">
        <v>29</v>
      </c>
      <c r="C937" s="5">
        <v>18.59</v>
      </c>
      <c r="D937" s="4">
        <v>24</v>
      </c>
      <c r="E937" s="5">
        <v>19.510000000000002</v>
      </c>
      <c r="F937" s="4">
        <v>5</v>
      </c>
      <c r="G937" s="5">
        <v>20.83</v>
      </c>
      <c r="H937" s="4">
        <v>0</v>
      </c>
    </row>
    <row r="938" spans="1:8" x14ac:dyDescent="0.2">
      <c r="A938" s="2" t="s">
        <v>72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73</v>
      </c>
      <c r="B939" s="4">
        <v>2</v>
      </c>
      <c r="C939" s="5">
        <v>1.28</v>
      </c>
      <c r="D939" s="4">
        <v>2</v>
      </c>
      <c r="E939" s="5">
        <v>1.63</v>
      </c>
      <c r="F939" s="4">
        <v>0</v>
      </c>
      <c r="G939" s="5">
        <v>0</v>
      </c>
      <c r="H939" s="4">
        <v>0</v>
      </c>
    </row>
    <row r="940" spans="1:8" x14ac:dyDescent="0.2">
      <c r="A940" s="2" t="s">
        <v>74</v>
      </c>
      <c r="B940" s="4">
        <v>2</v>
      </c>
      <c r="C940" s="5">
        <v>1.28</v>
      </c>
      <c r="D940" s="4">
        <v>0</v>
      </c>
      <c r="E940" s="5">
        <v>0</v>
      </c>
      <c r="F940" s="4">
        <v>1</v>
      </c>
      <c r="G940" s="5">
        <v>4.17</v>
      </c>
      <c r="H940" s="4">
        <v>0</v>
      </c>
    </row>
    <row r="941" spans="1:8" x14ac:dyDescent="0.2">
      <c r="A941" s="2" t="s">
        <v>75</v>
      </c>
      <c r="B941" s="4">
        <v>75</v>
      </c>
      <c r="C941" s="5">
        <v>48.08</v>
      </c>
      <c r="D941" s="4">
        <v>73</v>
      </c>
      <c r="E941" s="5">
        <v>59.35</v>
      </c>
      <c r="F941" s="4">
        <v>2</v>
      </c>
      <c r="G941" s="5">
        <v>8.33</v>
      </c>
      <c r="H941" s="4">
        <v>0</v>
      </c>
    </row>
    <row r="942" spans="1:8" x14ac:dyDescent="0.2">
      <c r="A942" s="2" t="s">
        <v>76</v>
      </c>
      <c r="B942" s="4">
        <v>10</v>
      </c>
      <c r="C942" s="5">
        <v>6.41</v>
      </c>
      <c r="D942" s="4">
        <v>7</v>
      </c>
      <c r="E942" s="5">
        <v>5.69</v>
      </c>
      <c r="F942" s="4">
        <v>1</v>
      </c>
      <c r="G942" s="5">
        <v>4.17</v>
      </c>
      <c r="H942" s="4">
        <v>0</v>
      </c>
    </row>
    <row r="943" spans="1:8" x14ac:dyDescent="0.2">
      <c r="A943" s="2" t="s">
        <v>77</v>
      </c>
      <c r="B943" s="4">
        <v>2</v>
      </c>
      <c r="C943" s="5">
        <v>1.28</v>
      </c>
      <c r="D943" s="4">
        <v>0</v>
      </c>
      <c r="E943" s="5">
        <v>0</v>
      </c>
      <c r="F943" s="4">
        <v>0</v>
      </c>
      <c r="G943" s="5">
        <v>0</v>
      </c>
      <c r="H943" s="4">
        <v>0</v>
      </c>
    </row>
    <row r="944" spans="1:8" x14ac:dyDescent="0.2">
      <c r="A944" s="2" t="s">
        <v>78</v>
      </c>
      <c r="B944" s="4">
        <v>1</v>
      </c>
      <c r="C944" s="5">
        <v>0.64</v>
      </c>
      <c r="D944" s="4">
        <v>0</v>
      </c>
      <c r="E944" s="5">
        <v>0</v>
      </c>
      <c r="F944" s="4">
        <v>1</v>
      </c>
      <c r="G944" s="5">
        <v>4.17</v>
      </c>
      <c r="H944" s="4">
        <v>0</v>
      </c>
    </row>
    <row r="945" spans="1:8" x14ac:dyDescent="0.2">
      <c r="A945" s="2" t="s">
        <v>79</v>
      </c>
      <c r="B945" s="4">
        <v>2</v>
      </c>
      <c r="C945" s="5">
        <v>1.28</v>
      </c>
      <c r="D945" s="4">
        <v>1</v>
      </c>
      <c r="E945" s="5">
        <v>0.81</v>
      </c>
      <c r="F945" s="4">
        <v>0</v>
      </c>
      <c r="G945" s="5">
        <v>0</v>
      </c>
      <c r="H945" s="4">
        <v>0</v>
      </c>
    </row>
    <row r="946" spans="1:8" x14ac:dyDescent="0.2">
      <c r="A946" s="1" t="s">
        <v>59</v>
      </c>
      <c r="B946" s="4">
        <v>128</v>
      </c>
      <c r="C946" s="5">
        <v>100</v>
      </c>
      <c r="D946" s="4">
        <v>107</v>
      </c>
      <c r="E946" s="5">
        <v>99.97</v>
      </c>
      <c r="F946" s="4">
        <v>15</v>
      </c>
      <c r="G946" s="5">
        <v>100.01</v>
      </c>
      <c r="H946" s="4">
        <v>1</v>
      </c>
    </row>
    <row r="947" spans="1:8" x14ac:dyDescent="0.2">
      <c r="A947" s="2" t="s">
        <v>65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66</v>
      </c>
      <c r="B948" s="4">
        <v>15</v>
      </c>
      <c r="C948" s="5">
        <v>11.72</v>
      </c>
      <c r="D948" s="4">
        <v>11</v>
      </c>
      <c r="E948" s="5">
        <v>10.28</v>
      </c>
      <c r="F948" s="4">
        <v>4</v>
      </c>
      <c r="G948" s="5">
        <v>26.67</v>
      </c>
      <c r="H948" s="4">
        <v>0</v>
      </c>
    </row>
    <row r="949" spans="1:8" x14ac:dyDescent="0.2">
      <c r="A949" s="2" t="s">
        <v>67</v>
      </c>
      <c r="B949" s="4">
        <v>5</v>
      </c>
      <c r="C949" s="5">
        <v>3.91</v>
      </c>
      <c r="D949" s="4">
        <v>3</v>
      </c>
      <c r="E949" s="5">
        <v>2.8</v>
      </c>
      <c r="F949" s="4">
        <v>2</v>
      </c>
      <c r="G949" s="5">
        <v>13.33</v>
      </c>
      <c r="H949" s="4">
        <v>0</v>
      </c>
    </row>
    <row r="950" spans="1:8" x14ac:dyDescent="0.2">
      <c r="A950" s="2" t="s">
        <v>68</v>
      </c>
      <c r="B950" s="4">
        <v>1</v>
      </c>
      <c r="C950" s="5">
        <v>0.78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2">
      <c r="A951" s="2" t="s">
        <v>69</v>
      </c>
      <c r="B951" s="4">
        <v>1</v>
      </c>
      <c r="C951" s="5">
        <v>0.78</v>
      </c>
      <c r="D951" s="4">
        <v>0</v>
      </c>
      <c r="E951" s="5">
        <v>0</v>
      </c>
      <c r="F951" s="4">
        <v>0</v>
      </c>
      <c r="G951" s="5">
        <v>0</v>
      </c>
      <c r="H951" s="4">
        <v>1</v>
      </c>
    </row>
    <row r="952" spans="1:8" x14ac:dyDescent="0.2">
      <c r="A952" s="2" t="s">
        <v>70</v>
      </c>
      <c r="B952" s="4">
        <v>2</v>
      </c>
      <c r="C952" s="5">
        <v>1.56</v>
      </c>
      <c r="D952" s="4">
        <v>1</v>
      </c>
      <c r="E952" s="5">
        <v>0.93</v>
      </c>
      <c r="F952" s="4">
        <v>1</v>
      </c>
      <c r="G952" s="5">
        <v>6.67</v>
      </c>
      <c r="H952" s="4">
        <v>0</v>
      </c>
    </row>
    <row r="953" spans="1:8" x14ac:dyDescent="0.2">
      <c r="A953" s="2" t="s">
        <v>71</v>
      </c>
      <c r="B953" s="4">
        <v>21</v>
      </c>
      <c r="C953" s="5">
        <v>16.41</v>
      </c>
      <c r="D953" s="4">
        <v>18</v>
      </c>
      <c r="E953" s="5">
        <v>16.82</v>
      </c>
      <c r="F953" s="4">
        <v>3</v>
      </c>
      <c r="G953" s="5">
        <v>20</v>
      </c>
      <c r="H953" s="4">
        <v>0</v>
      </c>
    </row>
    <row r="954" spans="1:8" x14ac:dyDescent="0.2">
      <c r="A954" s="2" t="s">
        <v>72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2">
      <c r="A955" s="2" t="s">
        <v>73</v>
      </c>
      <c r="B955" s="4">
        <v>1</v>
      </c>
      <c r="C955" s="5">
        <v>0.78</v>
      </c>
      <c r="D955" s="4">
        <v>1</v>
      </c>
      <c r="E955" s="5">
        <v>0.93</v>
      </c>
      <c r="F955" s="4">
        <v>0</v>
      </c>
      <c r="G955" s="5">
        <v>0</v>
      </c>
      <c r="H955" s="4">
        <v>0</v>
      </c>
    </row>
    <row r="956" spans="1:8" x14ac:dyDescent="0.2">
      <c r="A956" s="2" t="s">
        <v>74</v>
      </c>
      <c r="B956" s="4">
        <v>3</v>
      </c>
      <c r="C956" s="5">
        <v>2.34</v>
      </c>
      <c r="D956" s="4">
        <v>3</v>
      </c>
      <c r="E956" s="5">
        <v>2.8</v>
      </c>
      <c r="F956" s="4">
        <v>0</v>
      </c>
      <c r="G956" s="5">
        <v>0</v>
      </c>
      <c r="H956" s="4">
        <v>0</v>
      </c>
    </row>
    <row r="957" spans="1:8" x14ac:dyDescent="0.2">
      <c r="A957" s="2" t="s">
        <v>75</v>
      </c>
      <c r="B957" s="4">
        <v>59</v>
      </c>
      <c r="C957" s="5">
        <v>46.09</v>
      </c>
      <c r="D957" s="4">
        <v>55</v>
      </c>
      <c r="E957" s="5">
        <v>51.4</v>
      </c>
      <c r="F957" s="4">
        <v>4</v>
      </c>
      <c r="G957" s="5">
        <v>26.67</v>
      </c>
      <c r="H957" s="4">
        <v>0</v>
      </c>
    </row>
    <row r="958" spans="1:8" x14ac:dyDescent="0.2">
      <c r="A958" s="2" t="s">
        <v>76</v>
      </c>
      <c r="B958" s="4">
        <v>12</v>
      </c>
      <c r="C958" s="5">
        <v>9.3800000000000008</v>
      </c>
      <c r="D958" s="4">
        <v>12</v>
      </c>
      <c r="E958" s="5">
        <v>11.21</v>
      </c>
      <c r="F958" s="4">
        <v>0</v>
      </c>
      <c r="G958" s="5">
        <v>0</v>
      </c>
      <c r="H958" s="4">
        <v>0</v>
      </c>
    </row>
    <row r="959" spans="1:8" x14ac:dyDescent="0.2">
      <c r="A959" s="2" t="s">
        <v>77</v>
      </c>
      <c r="B959" s="4">
        <v>4</v>
      </c>
      <c r="C959" s="5">
        <v>3.13</v>
      </c>
      <c r="D959" s="4">
        <v>2</v>
      </c>
      <c r="E959" s="5">
        <v>1.87</v>
      </c>
      <c r="F959" s="4">
        <v>0</v>
      </c>
      <c r="G959" s="5">
        <v>0</v>
      </c>
      <c r="H959" s="4">
        <v>0</v>
      </c>
    </row>
    <row r="960" spans="1:8" x14ac:dyDescent="0.2">
      <c r="A960" s="2" t="s">
        <v>78</v>
      </c>
      <c r="B960" s="4">
        <v>2</v>
      </c>
      <c r="C960" s="5">
        <v>1.56</v>
      </c>
      <c r="D960" s="4">
        <v>1</v>
      </c>
      <c r="E960" s="5">
        <v>0.93</v>
      </c>
      <c r="F960" s="4">
        <v>1</v>
      </c>
      <c r="G960" s="5">
        <v>6.67</v>
      </c>
      <c r="H960" s="4">
        <v>0</v>
      </c>
    </row>
    <row r="961" spans="1:8" x14ac:dyDescent="0.2">
      <c r="A961" s="2" t="s">
        <v>79</v>
      </c>
      <c r="B961" s="4">
        <v>2</v>
      </c>
      <c r="C961" s="5">
        <v>1.56</v>
      </c>
      <c r="D961" s="4">
        <v>0</v>
      </c>
      <c r="E961" s="5">
        <v>0</v>
      </c>
      <c r="F961" s="4">
        <v>0</v>
      </c>
      <c r="G961" s="5">
        <v>0</v>
      </c>
      <c r="H961" s="4">
        <v>0</v>
      </c>
    </row>
    <row r="962" spans="1:8" x14ac:dyDescent="0.2">
      <c r="A962" s="1" t="s">
        <v>60</v>
      </c>
      <c r="B962" s="4">
        <v>176</v>
      </c>
      <c r="C962" s="5">
        <v>100</v>
      </c>
      <c r="D962" s="4">
        <v>136</v>
      </c>
      <c r="E962" s="5">
        <v>100.00999999999998</v>
      </c>
      <c r="F962" s="4">
        <v>39</v>
      </c>
      <c r="G962" s="5">
        <v>99.989999999999981</v>
      </c>
      <c r="H962" s="4">
        <v>0</v>
      </c>
    </row>
    <row r="963" spans="1:8" x14ac:dyDescent="0.2">
      <c r="A963" s="2" t="s">
        <v>65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66</v>
      </c>
      <c r="B964" s="4">
        <v>25</v>
      </c>
      <c r="C964" s="5">
        <v>14.2</v>
      </c>
      <c r="D964" s="4">
        <v>13</v>
      </c>
      <c r="E964" s="5">
        <v>9.56</v>
      </c>
      <c r="F964" s="4">
        <v>12</v>
      </c>
      <c r="G964" s="5">
        <v>30.77</v>
      </c>
      <c r="H964" s="4">
        <v>0</v>
      </c>
    </row>
    <row r="965" spans="1:8" x14ac:dyDescent="0.2">
      <c r="A965" s="2" t="s">
        <v>67</v>
      </c>
      <c r="B965" s="4">
        <v>10</v>
      </c>
      <c r="C965" s="5">
        <v>5.68</v>
      </c>
      <c r="D965" s="4">
        <v>9</v>
      </c>
      <c r="E965" s="5">
        <v>6.62</v>
      </c>
      <c r="F965" s="4">
        <v>1</v>
      </c>
      <c r="G965" s="5">
        <v>2.56</v>
      </c>
      <c r="H965" s="4">
        <v>0</v>
      </c>
    </row>
    <row r="966" spans="1:8" x14ac:dyDescent="0.2">
      <c r="A966" s="2" t="s">
        <v>68</v>
      </c>
      <c r="B966" s="4">
        <v>1</v>
      </c>
      <c r="C966" s="5">
        <v>0.56999999999999995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2">
      <c r="A967" s="2" t="s">
        <v>69</v>
      </c>
      <c r="B967" s="4">
        <v>0</v>
      </c>
      <c r="C967" s="5">
        <v>0</v>
      </c>
      <c r="D967" s="4">
        <v>0</v>
      </c>
      <c r="E967" s="5">
        <v>0</v>
      </c>
      <c r="F967" s="4">
        <v>0</v>
      </c>
      <c r="G967" s="5">
        <v>0</v>
      </c>
      <c r="H967" s="4">
        <v>0</v>
      </c>
    </row>
    <row r="968" spans="1:8" x14ac:dyDescent="0.2">
      <c r="A968" s="2" t="s">
        <v>70</v>
      </c>
      <c r="B968" s="4">
        <v>5</v>
      </c>
      <c r="C968" s="5">
        <v>2.84</v>
      </c>
      <c r="D968" s="4">
        <v>2</v>
      </c>
      <c r="E968" s="5">
        <v>1.47</v>
      </c>
      <c r="F968" s="4">
        <v>3</v>
      </c>
      <c r="G968" s="5">
        <v>7.69</v>
      </c>
      <c r="H968" s="4">
        <v>0</v>
      </c>
    </row>
    <row r="969" spans="1:8" x14ac:dyDescent="0.2">
      <c r="A969" s="2" t="s">
        <v>71</v>
      </c>
      <c r="B969" s="4">
        <v>34</v>
      </c>
      <c r="C969" s="5">
        <v>19.32</v>
      </c>
      <c r="D969" s="4">
        <v>22</v>
      </c>
      <c r="E969" s="5">
        <v>16.18</v>
      </c>
      <c r="F969" s="4">
        <v>12</v>
      </c>
      <c r="G969" s="5">
        <v>30.77</v>
      </c>
      <c r="H969" s="4">
        <v>0</v>
      </c>
    </row>
    <row r="970" spans="1:8" x14ac:dyDescent="0.2">
      <c r="A970" s="2" t="s">
        <v>72</v>
      </c>
      <c r="B970" s="4">
        <v>1</v>
      </c>
      <c r="C970" s="5">
        <v>0.56999999999999995</v>
      </c>
      <c r="D970" s="4">
        <v>1</v>
      </c>
      <c r="E970" s="5">
        <v>0.74</v>
      </c>
      <c r="F970" s="4">
        <v>0</v>
      </c>
      <c r="G970" s="5">
        <v>0</v>
      </c>
      <c r="H970" s="4">
        <v>0</v>
      </c>
    </row>
    <row r="971" spans="1:8" x14ac:dyDescent="0.2">
      <c r="A971" s="2" t="s">
        <v>73</v>
      </c>
      <c r="B971" s="4">
        <v>4</v>
      </c>
      <c r="C971" s="5">
        <v>2.27</v>
      </c>
      <c r="D971" s="4">
        <v>4</v>
      </c>
      <c r="E971" s="5">
        <v>2.94</v>
      </c>
      <c r="F971" s="4">
        <v>0</v>
      </c>
      <c r="G971" s="5">
        <v>0</v>
      </c>
      <c r="H971" s="4">
        <v>0</v>
      </c>
    </row>
    <row r="972" spans="1:8" x14ac:dyDescent="0.2">
      <c r="A972" s="2" t="s">
        <v>74</v>
      </c>
      <c r="B972" s="4">
        <v>4</v>
      </c>
      <c r="C972" s="5">
        <v>2.27</v>
      </c>
      <c r="D972" s="4">
        <v>2</v>
      </c>
      <c r="E972" s="5">
        <v>1.47</v>
      </c>
      <c r="F972" s="4">
        <v>2</v>
      </c>
      <c r="G972" s="5">
        <v>5.13</v>
      </c>
      <c r="H972" s="4">
        <v>0</v>
      </c>
    </row>
    <row r="973" spans="1:8" x14ac:dyDescent="0.2">
      <c r="A973" s="2" t="s">
        <v>75</v>
      </c>
      <c r="B973" s="4">
        <v>56</v>
      </c>
      <c r="C973" s="5">
        <v>31.82</v>
      </c>
      <c r="D973" s="4">
        <v>53</v>
      </c>
      <c r="E973" s="5">
        <v>38.97</v>
      </c>
      <c r="F973" s="4">
        <v>3</v>
      </c>
      <c r="G973" s="5">
        <v>7.69</v>
      </c>
      <c r="H973" s="4">
        <v>0</v>
      </c>
    </row>
    <row r="974" spans="1:8" x14ac:dyDescent="0.2">
      <c r="A974" s="2" t="s">
        <v>76</v>
      </c>
      <c r="B974" s="4">
        <v>30</v>
      </c>
      <c r="C974" s="5">
        <v>17.05</v>
      </c>
      <c r="D974" s="4">
        <v>27</v>
      </c>
      <c r="E974" s="5">
        <v>19.850000000000001</v>
      </c>
      <c r="F974" s="4">
        <v>3</v>
      </c>
      <c r="G974" s="5">
        <v>7.69</v>
      </c>
      <c r="H974" s="4">
        <v>0</v>
      </c>
    </row>
    <row r="975" spans="1:8" x14ac:dyDescent="0.2">
      <c r="A975" s="2" t="s">
        <v>77</v>
      </c>
      <c r="B975" s="4">
        <v>0</v>
      </c>
      <c r="C975" s="5">
        <v>0</v>
      </c>
      <c r="D975" s="4">
        <v>0</v>
      </c>
      <c r="E975" s="5">
        <v>0</v>
      </c>
      <c r="F975" s="4">
        <v>0</v>
      </c>
      <c r="G975" s="5">
        <v>0</v>
      </c>
      <c r="H975" s="4">
        <v>0</v>
      </c>
    </row>
    <row r="976" spans="1:8" x14ac:dyDescent="0.2">
      <c r="A976" s="2" t="s">
        <v>78</v>
      </c>
      <c r="B976" s="4">
        <v>2</v>
      </c>
      <c r="C976" s="5">
        <v>1.1399999999999999</v>
      </c>
      <c r="D976" s="4">
        <v>1</v>
      </c>
      <c r="E976" s="5">
        <v>0.74</v>
      </c>
      <c r="F976" s="4">
        <v>1</v>
      </c>
      <c r="G976" s="5">
        <v>2.56</v>
      </c>
      <c r="H976" s="4">
        <v>0</v>
      </c>
    </row>
    <row r="977" spans="1:8" x14ac:dyDescent="0.2">
      <c r="A977" s="2" t="s">
        <v>79</v>
      </c>
      <c r="B977" s="4">
        <v>4</v>
      </c>
      <c r="C977" s="5">
        <v>2.27</v>
      </c>
      <c r="D977" s="4">
        <v>2</v>
      </c>
      <c r="E977" s="5">
        <v>1.47</v>
      </c>
      <c r="F977" s="4">
        <v>2</v>
      </c>
      <c r="G977" s="5">
        <v>5.13</v>
      </c>
      <c r="H977" s="4">
        <v>0</v>
      </c>
    </row>
    <row r="978" spans="1:8" x14ac:dyDescent="0.2">
      <c r="A978" s="1" t="s">
        <v>61</v>
      </c>
      <c r="B978" s="4">
        <v>16</v>
      </c>
      <c r="C978" s="5">
        <v>100</v>
      </c>
      <c r="D978" s="4">
        <v>13</v>
      </c>
      <c r="E978" s="5">
        <v>99.99</v>
      </c>
      <c r="F978" s="4">
        <v>3</v>
      </c>
      <c r="G978" s="5">
        <v>100</v>
      </c>
      <c r="H978" s="4">
        <v>0</v>
      </c>
    </row>
    <row r="979" spans="1:8" x14ac:dyDescent="0.2">
      <c r="A979" s="2" t="s">
        <v>65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66</v>
      </c>
      <c r="B980" s="4">
        <v>0</v>
      </c>
      <c r="C980" s="5">
        <v>0</v>
      </c>
      <c r="D980" s="4">
        <v>0</v>
      </c>
      <c r="E980" s="5">
        <v>0</v>
      </c>
      <c r="F980" s="4">
        <v>0</v>
      </c>
      <c r="G980" s="5">
        <v>0</v>
      </c>
      <c r="H980" s="4">
        <v>0</v>
      </c>
    </row>
    <row r="981" spans="1:8" x14ac:dyDescent="0.2">
      <c r="A981" s="2" t="s">
        <v>67</v>
      </c>
      <c r="B981" s="4">
        <v>0</v>
      </c>
      <c r="C981" s="5">
        <v>0</v>
      </c>
      <c r="D981" s="4">
        <v>0</v>
      </c>
      <c r="E981" s="5">
        <v>0</v>
      </c>
      <c r="F981" s="4">
        <v>0</v>
      </c>
      <c r="G981" s="5">
        <v>0</v>
      </c>
      <c r="H981" s="4">
        <v>0</v>
      </c>
    </row>
    <row r="982" spans="1:8" x14ac:dyDescent="0.2">
      <c r="A982" s="2" t="s">
        <v>68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2">
      <c r="A983" s="2" t="s">
        <v>69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2">
      <c r="A984" s="2" t="s">
        <v>70</v>
      </c>
      <c r="B984" s="4">
        <v>6</v>
      </c>
      <c r="C984" s="5">
        <v>37.5</v>
      </c>
      <c r="D984" s="4">
        <v>6</v>
      </c>
      <c r="E984" s="5">
        <v>46.15</v>
      </c>
      <c r="F984" s="4">
        <v>0</v>
      </c>
      <c r="G984" s="5">
        <v>0</v>
      </c>
      <c r="H984" s="4">
        <v>0</v>
      </c>
    </row>
    <row r="985" spans="1:8" x14ac:dyDescent="0.2">
      <c r="A985" s="2" t="s">
        <v>71</v>
      </c>
      <c r="B985" s="4">
        <v>3</v>
      </c>
      <c r="C985" s="5">
        <v>18.75</v>
      </c>
      <c r="D985" s="4">
        <v>1</v>
      </c>
      <c r="E985" s="5">
        <v>7.69</v>
      </c>
      <c r="F985" s="4">
        <v>2</v>
      </c>
      <c r="G985" s="5">
        <v>66.67</v>
      </c>
      <c r="H985" s="4">
        <v>0</v>
      </c>
    </row>
    <row r="986" spans="1:8" x14ac:dyDescent="0.2">
      <c r="A986" s="2" t="s">
        <v>72</v>
      </c>
      <c r="B986" s="4">
        <v>0</v>
      </c>
      <c r="C986" s="5">
        <v>0</v>
      </c>
      <c r="D986" s="4">
        <v>0</v>
      </c>
      <c r="E986" s="5">
        <v>0</v>
      </c>
      <c r="F986" s="4">
        <v>0</v>
      </c>
      <c r="G986" s="5">
        <v>0</v>
      </c>
      <c r="H986" s="4">
        <v>0</v>
      </c>
    </row>
    <row r="987" spans="1:8" x14ac:dyDescent="0.2">
      <c r="A987" s="2" t="s">
        <v>73</v>
      </c>
      <c r="B987" s="4">
        <v>0</v>
      </c>
      <c r="C987" s="5">
        <v>0</v>
      </c>
      <c r="D987" s="4">
        <v>0</v>
      </c>
      <c r="E987" s="5">
        <v>0</v>
      </c>
      <c r="F987" s="4">
        <v>0</v>
      </c>
      <c r="G987" s="5">
        <v>0</v>
      </c>
      <c r="H987" s="4">
        <v>0</v>
      </c>
    </row>
    <row r="988" spans="1:8" x14ac:dyDescent="0.2">
      <c r="A988" s="2" t="s">
        <v>74</v>
      </c>
      <c r="B988" s="4">
        <v>0</v>
      </c>
      <c r="C988" s="5">
        <v>0</v>
      </c>
      <c r="D988" s="4">
        <v>0</v>
      </c>
      <c r="E988" s="5">
        <v>0</v>
      </c>
      <c r="F988" s="4">
        <v>0</v>
      </c>
      <c r="G988" s="5">
        <v>0</v>
      </c>
      <c r="H988" s="4">
        <v>0</v>
      </c>
    </row>
    <row r="989" spans="1:8" x14ac:dyDescent="0.2">
      <c r="A989" s="2" t="s">
        <v>75</v>
      </c>
      <c r="B989" s="4">
        <v>5</v>
      </c>
      <c r="C989" s="5">
        <v>31.25</v>
      </c>
      <c r="D989" s="4">
        <v>5</v>
      </c>
      <c r="E989" s="5">
        <v>38.46</v>
      </c>
      <c r="F989" s="4">
        <v>0</v>
      </c>
      <c r="G989" s="5">
        <v>0</v>
      </c>
      <c r="H989" s="4">
        <v>0</v>
      </c>
    </row>
    <row r="990" spans="1:8" x14ac:dyDescent="0.2">
      <c r="A990" s="2" t="s">
        <v>76</v>
      </c>
      <c r="B990" s="4">
        <v>2</v>
      </c>
      <c r="C990" s="5">
        <v>12.5</v>
      </c>
      <c r="D990" s="4">
        <v>1</v>
      </c>
      <c r="E990" s="5">
        <v>7.69</v>
      </c>
      <c r="F990" s="4">
        <v>1</v>
      </c>
      <c r="G990" s="5">
        <v>33.33</v>
      </c>
      <c r="H990" s="4">
        <v>0</v>
      </c>
    </row>
    <row r="991" spans="1:8" x14ac:dyDescent="0.2">
      <c r="A991" s="2" t="s">
        <v>77</v>
      </c>
      <c r="B991" s="4">
        <v>0</v>
      </c>
      <c r="C991" s="5">
        <v>0</v>
      </c>
      <c r="D991" s="4">
        <v>0</v>
      </c>
      <c r="E991" s="5">
        <v>0</v>
      </c>
      <c r="F991" s="4">
        <v>0</v>
      </c>
      <c r="G991" s="5">
        <v>0</v>
      </c>
      <c r="H991" s="4">
        <v>0</v>
      </c>
    </row>
    <row r="992" spans="1:8" x14ac:dyDescent="0.2">
      <c r="A992" s="2" t="s">
        <v>78</v>
      </c>
      <c r="B992" s="4">
        <v>0</v>
      </c>
      <c r="C992" s="5">
        <v>0</v>
      </c>
      <c r="D992" s="4">
        <v>0</v>
      </c>
      <c r="E992" s="5">
        <v>0</v>
      </c>
      <c r="F992" s="4">
        <v>0</v>
      </c>
      <c r="G992" s="5">
        <v>0</v>
      </c>
      <c r="H992" s="4">
        <v>0</v>
      </c>
    </row>
    <row r="993" spans="1:8" x14ac:dyDescent="0.2">
      <c r="A993" s="2" t="s">
        <v>79</v>
      </c>
      <c r="B993" s="4">
        <v>0</v>
      </c>
      <c r="C993" s="5">
        <v>0</v>
      </c>
      <c r="D993" s="4">
        <v>0</v>
      </c>
      <c r="E993" s="5">
        <v>0</v>
      </c>
      <c r="F993" s="4">
        <v>0</v>
      </c>
      <c r="G993" s="5">
        <v>0</v>
      </c>
      <c r="H993" s="4">
        <v>0</v>
      </c>
    </row>
    <row r="994" spans="1:8" x14ac:dyDescent="0.2">
      <c r="A994" s="1" t="s">
        <v>62</v>
      </c>
      <c r="B994" s="4">
        <v>358</v>
      </c>
      <c r="C994" s="5">
        <v>99.98</v>
      </c>
      <c r="D994" s="4">
        <v>240</v>
      </c>
      <c r="E994" s="5">
        <v>100</v>
      </c>
      <c r="F994" s="4">
        <v>112</v>
      </c>
      <c r="G994" s="5">
        <v>99.97999999999999</v>
      </c>
      <c r="H994" s="4">
        <v>3</v>
      </c>
    </row>
    <row r="995" spans="1:8" x14ac:dyDescent="0.2">
      <c r="A995" s="2" t="s">
        <v>65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2">
      <c r="A996" s="2" t="s">
        <v>66</v>
      </c>
      <c r="B996" s="4">
        <v>31</v>
      </c>
      <c r="C996" s="5">
        <v>8.66</v>
      </c>
      <c r="D996" s="4">
        <v>9</v>
      </c>
      <c r="E996" s="5">
        <v>3.75</v>
      </c>
      <c r="F996" s="4">
        <v>22</v>
      </c>
      <c r="G996" s="5">
        <v>19.64</v>
      </c>
      <c r="H996" s="4">
        <v>0</v>
      </c>
    </row>
    <row r="997" spans="1:8" x14ac:dyDescent="0.2">
      <c r="A997" s="2" t="s">
        <v>67</v>
      </c>
      <c r="B997" s="4">
        <v>23</v>
      </c>
      <c r="C997" s="5">
        <v>6.42</v>
      </c>
      <c r="D997" s="4">
        <v>10</v>
      </c>
      <c r="E997" s="5">
        <v>4.17</v>
      </c>
      <c r="F997" s="4">
        <v>12</v>
      </c>
      <c r="G997" s="5">
        <v>10.71</v>
      </c>
      <c r="H997" s="4">
        <v>1</v>
      </c>
    </row>
    <row r="998" spans="1:8" x14ac:dyDescent="0.2">
      <c r="A998" s="2" t="s">
        <v>68</v>
      </c>
      <c r="B998" s="4">
        <v>0</v>
      </c>
      <c r="C998" s="5">
        <v>0</v>
      </c>
      <c r="D998" s="4">
        <v>0</v>
      </c>
      <c r="E998" s="5">
        <v>0</v>
      </c>
      <c r="F998" s="4">
        <v>0</v>
      </c>
      <c r="G998" s="5">
        <v>0</v>
      </c>
      <c r="H998" s="4">
        <v>0</v>
      </c>
    </row>
    <row r="999" spans="1:8" x14ac:dyDescent="0.2">
      <c r="A999" s="2" t="s">
        <v>69</v>
      </c>
      <c r="B999" s="4">
        <v>1</v>
      </c>
      <c r="C999" s="5">
        <v>0.28000000000000003</v>
      </c>
      <c r="D999" s="4">
        <v>0</v>
      </c>
      <c r="E999" s="5">
        <v>0</v>
      </c>
      <c r="F999" s="4">
        <v>1</v>
      </c>
      <c r="G999" s="5">
        <v>0.89</v>
      </c>
      <c r="H999" s="4">
        <v>0</v>
      </c>
    </row>
    <row r="1000" spans="1:8" x14ac:dyDescent="0.2">
      <c r="A1000" s="2" t="s">
        <v>70</v>
      </c>
      <c r="B1000" s="4">
        <v>11</v>
      </c>
      <c r="C1000" s="5">
        <v>3.07</v>
      </c>
      <c r="D1000" s="4">
        <v>5</v>
      </c>
      <c r="E1000" s="5">
        <v>2.08</v>
      </c>
      <c r="F1000" s="4">
        <v>6</v>
      </c>
      <c r="G1000" s="5">
        <v>5.36</v>
      </c>
      <c r="H1000" s="4">
        <v>0</v>
      </c>
    </row>
    <row r="1001" spans="1:8" x14ac:dyDescent="0.2">
      <c r="A1001" s="2" t="s">
        <v>71</v>
      </c>
      <c r="B1001" s="4">
        <v>63</v>
      </c>
      <c r="C1001" s="5">
        <v>17.600000000000001</v>
      </c>
      <c r="D1001" s="4">
        <v>34</v>
      </c>
      <c r="E1001" s="5">
        <v>14.17</v>
      </c>
      <c r="F1001" s="4">
        <v>28</v>
      </c>
      <c r="G1001" s="5">
        <v>25</v>
      </c>
      <c r="H1001" s="4">
        <v>1</v>
      </c>
    </row>
    <row r="1002" spans="1:8" x14ac:dyDescent="0.2">
      <c r="A1002" s="2" t="s">
        <v>72</v>
      </c>
      <c r="B1002" s="4">
        <v>1</v>
      </c>
      <c r="C1002" s="5">
        <v>0.28000000000000003</v>
      </c>
      <c r="D1002" s="4">
        <v>0</v>
      </c>
      <c r="E1002" s="5">
        <v>0</v>
      </c>
      <c r="F1002" s="4">
        <v>1</v>
      </c>
      <c r="G1002" s="5">
        <v>0.89</v>
      </c>
      <c r="H1002" s="4">
        <v>0</v>
      </c>
    </row>
    <row r="1003" spans="1:8" x14ac:dyDescent="0.2">
      <c r="A1003" s="2" t="s">
        <v>73</v>
      </c>
      <c r="B1003" s="4">
        <v>17</v>
      </c>
      <c r="C1003" s="5">
        <v>4.75</v>
      </c>
      <c r="D1003" s="4">
        <v>11</v>
      </c>
      <c r="E1003" s="5">
        <v>4.58</v>
      </c>
      <c r="F1003" s="4">
        <v>6</v>
      </c>
      <c r="G1003" s="5">
        <v>5.36</v>
      </c>
      <c r="H1003" s="4">
        <v>0</v>
      </c>
    </row>
    <row r="1004" spans="1:8" x14ac:dyDescent="0.2">
      <c r="A1004" s="2" t="s">
        <v>74</v>
      </c>
      <c r="B1004" s="4">
        <v>10</v>
      </c>
      <c r="C1004" s="5">
        <v>2.79</v>
      </c>
      <c r="D1004" s="4">
        <v>6</v>
      </c>
      <c r="E1004" s="5">
        <v>2.5</v>
      </c>
      <c r="F1004" s="4">
        <v>3</v>
      </c>
      <c r="G1004" s="5">
        <v>2.68</v>
      </c>
      <c r="H1004" s="4">
        <v>0</v>
      </c>
    </row>
    <row r="1005" spans="1:8" x14ac:dyDescent="0.2">
      <c r="A1005" s="2" t="s">
        <v>75</v>
      </c>
      <c r="B1005" s="4">
        <v>132</v>
      </c>
      <c r="C1005" s="5">
        <v>36.869999999999997</v>
      </c>
      <c r="D1005" s="4">
        <v>112</v>
      </c>
      <c r="E1005" s="5">
        <v>46.67</v>
      </c>
      <c r="F1005" s="4">
        <v>19</v>
      </c>
      <c r="G1005" s="5">
        <v>16.96</v>
      </c>
      <c r="H1005" s="4">
        <v>0</v>
      </c>
    </row>
    <row r="1006" spans="1:8" x14ac:dyDescent="0.2">
      <c r="A1006" s="2" t="s">
        <v>76</v>
      </c>
      <c r="B1006" s="4">
        <v>39</v>
      </c>
      <c r="C1006" s="5">
        <v>10.89</v>
      </c>
      <c r="D1006" s="4">
        <v>35</v>
      </c>
      <c r="E1006" s="5">
        <v>14.58</v>
      </c>
      <c r="F1006" s="4">
        <v>4</v>
      </c>
      <c r="G1006" s="5">
        <v>3.57</v>
      </c>
      <c r="H1006" s="4">
        <v>0</v>
      </c>
    </row>
    <row r="1007" spans="1:8" x14ac:dyDescent="0.2">
      <c r="A1007" s="2" t="s">
        <v>77</v>
      </c>
      <c r="B1007" s="4">
        <v>9</v>
      </c>
      <c r="C1007" s="5">
        <v>2.5099999999999998</v>
      </c>
      <c r="D1007" s="4">
        <v>9</v>
      </c>
      <c r="E1007" s="5">
        <v>3.75</v>
      </c>
      <c r="F1007" s="4">
        <v>0</v>
      </c>
      <c r="G1007" s="5">
        <v>0</v>
      </c>
      <c r="H1007" s="4">
        <v>0</v>
      </c>
    </row>
    <row r="1008" spans="1:8" x14ac:dyDescent="0.2">
      <c r="A1008" s="2" t="s">
        <v>78</v>
      </c>
      <c r="B1008" s="4">
        <v>12</v>
      </c>
      <c r="C1008" s="5">
        <v>3.35</v>
      </c>
      <c r="D1008" s="4">
        <v>7</v>
      </c>
      <c r="E1008" s="5">
        <v>2.92</v>
      </c>
      <c r="F1008" s="4">
        <v>5</v>
      </c>
      <c r="G1008" s="5">
        <v>4.46</v>
      </c>
      <c r="H1008" s="4">
        <v>0</v>
      </c>
    </row>
    <row r="1009" spans="1:8" x14ac:dyDescent="0.2">
      <c r="A1009" s="2" t="s">
        <v>79</v>
      </c>
      <c r="B1009" s="4">
        <v>9</v>
      </c>
      <c r="C1009" s="5">
        <v>2.5099999999999998</v>
      </c>
      <c r="D1009" s="4">
        <v>2</v>
      </c>
      <c r="E1009" s="5">
        <v>0.83</v>
      </c>
      <c r="F1009" s="4">
        <v>5</v>
      </c>
      <c r="G1009" s="5">
        <v>4.46</v>
      </c>
      <c r="H1009" s="4">
        <v>1</v>
      </c>
    </row>
    <row r="1010" spans="1:8" x14ac:dyDescent="0.2">
      <c r="A1010" s="1" t="s">
        <v>63</v>
      </c>
      <c r="B1010" s="4">
        <v>12</v>
      </c>
      <c r="C1010" s="5">
        <v>99.99</v>
      </c>
      <c r="D1010" s="4">
        <v>6</v>
      </c>
      <c r="E1010" s="5">
        <v>100</v>
      </c>
      <c r="F1010" s="4">
        <v>5</v>
      </c>
      <c r="G1010" s="5">
        <v>100</v>
      </c>
      <c r="H1010" s="4">
        <v>0</v>
      </c>
    </row>
    <row r="1011" spans="1:8" x14ac:dyDescent="0.2">
      <c r="A1011" s="2" t="s">
        <v>65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2">
      <c r="A1012" s="2" t="s">
        <v>66</v>
      </c>
      <c r="B1012" s="4">
        <v>1</v>
      </c>
      <c r="C1012" s="5">
        <v>8.33</v>
      </c>
      <c r="D1012" s="4">
        <v>0</v>
      </c>
      <c r="E1012" s="5">
        <v>0</v>
      </c>
      <c r="F1012" s="4">
        <v>1</v>
      </c>
      <c r="G1012" s="5">
        <v>20</v>
      </c>
      <c r="H1012" s="4">
        <v>0</v>
      </c>
    </row>
    <row r="1013" spans="1:8" x14ac:dyDescent="0.2">
      <c r="A1013" s="2" t="s">
        <v>67</v>
      </c>
      <c r="B1013" s="4">
        <v>2</v>
      </c>
      <c r="C1013" s="5">
        <v>16.670000000000002</v>
      </c>
      <c r="D1013" s="4">
        <v>0</v>
      </c>
      <c r="E1013" s="5">
        <v>0</v>
      </c>
      <c r="F1013" s="4">
        <v>2</v>
      </c>
      <c r="G1013" s="5">
        <v>40</v>
      </c>
      <c r="H1013" s="4">
        <v>0</v>
      </c>
    </row>
    <row r="1014" spans="1:8" x14ac:dyDescent="0.2">
      <c r="A1014" s="2" t="s">
        <v>68</v>
      </c>
      <c r="B1014" s="4">
        <v>0</v>
      </c>
      <c r="C1014" s="5">
        <v>0</v>
      </c>
      <c r="D1014" s="4">
        <v>0</v>
      </c>
      <c r="E1014" s="5">
        <v>0</v>
      </c>
      <c r="F1014" s="4">
        <v>0</v>
      </c>
      <c r="G1014" s="5">
        <v>0</v>
      </c>
      <c r="H1014" s="4">
        <v>0</v>
      </c>
    </row>
    <row r="1015" spans="1:8" x14ac:dyDescent="0.2">
      <c r="A1015" s="2" t="s">
        <v>69</v>
      </c>
      <c r="B1015" s="4">
        <v>0</v>
      </c>
      <c r="C1015" s="5">
        <v>0</v>
      </c>
      <c r="D1015" s="4">
        <v>0</v>
      </c>
      <c r="E1015" s="5">
        <v>0</v>
      </c>
      <c r="F1015" s="4">
        <v>0</v>
      </c>
      <c r="G1015" s="5">
        <v>0</v>
      </c>
      <c r="H1015" s="4">
        <v>0</v>
      </c>
    </row>
    <row r="1016" spans="1:8" x14ac:dyDescent="0.2">
      <c r="A1016" s="2" t="s">
        <v>70</v>
      </c>
      <c r="B1016" s="4">
        <v>0</v>
      </c>
      <c r="C1016" s="5">
        <v>0</v>
      </c>
      <c r="D1016" s="4">
        <v>0</v>
      </c>
      <c r="E1016" s="5">
        <v>0</v>
      </c>
      <c r="F1016" s="4">
        <v>0</v>
      </c>
      <c r="G1016" s="5">
        <v>0</v>
      </c>
      <c r="H1016" s="4">
        <v>0</v>
      </c>
    </row>
    <row r="1017" spans="1:8" x14ac:dyDescent="0.2">
      <c r="A1017" s="2" t="s">
        <v>71</v>
      </c>
      <c r="B1017" s="4">
        <v>1</v>
      </c>
      <c r="C1017" s="5">
        <v>8.33</v>
      </c>
      <c r="D1017" s="4">
        <v>1</v>
      </c>
      <c r="E1017" s="5">
        <v>16.670000000000002</v>
      </c>
      <c r="F1017" s="4">
        <v>0</v>
      </c>
      <c r="G1017" s="5">
        <v>0</v>
      </c>
      <c r="H1017" s="4">
        <v>0</v>
      </c>
    </row>
    <row r="1018" spans="1:8" x14ac:dyDescent="0.2">
      <c r="A1018" s="2" t="s">
        <v>72</v>
      </c>
      <c r="B1018" s="4">
        <v>0</v>
      </c>
      <c r="C1018" s="5">
        <v>0</v>
      </c>
      <c r="D1018" s="4">
        <v>0</v>
      </c>
      <c r="E1018" s="5">
        <v>0</v>
      </c>
      <c r="F1018" s="4">
        <v>0</v>
      </c>
      <c r="G1018" s="5">
        <v>0</v>
      </c>
      <c r="H1018" s="4">
        <v>0</v>
      </c>
    </row>
    <row r="1019" spans="1:8" x14ac:dyDescent="0.2">
      <c r="A1019" s="2" t="s">
        <v>73</v>
      </c>
      <c r="B1019" s="4">
        <v>0</v>
      </c>
      <c r="C1019" s="5">
        <v>0</v>
      </c>
      <c r="D1019" s="4">
        <v>0</v>
      </c>
      <c r="E1019" s="5">
        <v>0</v>
      </c>
      <c r="F1019" s="4">
        <v>0</v>
      </c>
      <c r="G1019" s="5">
        <v>0</v>
      </c>
      <c r="H1019" s="4">
        <v>0</v>
      </c>
    </row>
    <row r="1020" spans="1:8" x14ac:dyDescent="0.2">
      <c r="A1020" s="2" t="s">
        <v>74</v>
      </c>
      <c r="B1020" s="4">
        <v>0</v>
      </c>
      <c r="C1020" s="5">
        <v>0</v>
      </c>
      <c r="D1020" s="4">
        <v>0</v>
      </c>
      <c r="E1020" s="5">
        <v>0</v>
      </c>
      <c r="F1020" s="4">
        <v>0</v>
      </c>
      <c r="G1020" s="5">
        <v>0</v>
      </c>
      <c r="H1020" s="4">
        <v>0</v>
      </c>
    </row>
    <row r="1021" spans="1:8" x14ac:dyDescent="0.2">
      <c r="A1021" s="2" t="s">
        <v>75</v>
      </c>
      <c r="B1021" s="4">
        <v>6</v>
      </c>
      <c r="C1021" s="5">
        <v>50</v>
      </c>
      <c r="D1021" s="4">
        <v>5</v>
      </c>
      <c r="E1021" s="5">
        <v>83.33</v>
      </c>
      <c r="F1021" s="4">
        <v>1</v>
      </c>
      <c r="G1021" s="5">
        <v>20</v>
      </c>
      <c r="H1021" s="4">
        <v>0</v>
      </c>
    </row>
    <row r="1022" spans="1:8" x14ac:dyDescent="0.2">
      <c r="A1022" s="2" t="s">
        <v>76</v>
      </c>
      <c r="B1022" s="4">
        <v>0</v>
      </c>
      <c r="C1022" s="5">
        <v>0</v>
      </c>
      <c r="D1022" s="4">
        <v>0</v>
      </c>
      <c r="E1022" s="5">
        <v>0</v>
      </c>
      <c r="F1022" s="4">
        <v>0</v>
      </c>
      <c r="G1022" s="5">
        <v>0</v>
      </c>
      <c r="H1022" s="4">
        <v>0</v>
      </c>
    </row>
    <row r="1023" spans="1:8" x14ac:dyDescent="0.2">
      <c r="A1023" s="2" t="s">
        <v>77</v>
      </c>
      <c r="B1023" s="4">
        <v>0</v>
      </c>
      <c r="C1023" s="5">
        <v>0</v>
      </c>
      <c r="D1023" s="4">
        <v>0</v>
      </c>
      <c r="E1023" s="5">
        <v>0</v>
      </c>
      <c r="F1023" s="4">
        <v>0</v>
      </c>
      <c r="G1023" s="5">
        <v>0</v>
      </c>
      <c r="H1023" s="4">
        <v>0</v>
      </c>
    </row>
    <row r="1024" spans="1:8" x14ac:dyDescent="0.2">
      <c r="A1024" s="2" t="s">
        <v>78</v>
      </c>
      <c r="B1024" s="4">
        <v>1</v>
      </c>
      <c r="C1024" s="5">
        <v>8.33</v>
      </c>
      <c r="D1024" s="4">
        <v>0</v>
      </c>
      <c r="E1024" s="5">
        <v>0</v>
      </c>
      <c r="F1024" s="4">
        <v>0</v>
      </c>
      <c r="G1024" s="5">
        <v>0</v>
      </c>
      <c r="H1024" s="4">
        <v>0</v>
      </c>
    </row>
    <row r="1025" spans="1:8" x14ac:dyDescent="0.2">
      <c r="A1025" s="2" t="s">
        <v>79</v>
      </c>
      <c r="B1025" s="4">
        <v>1</v>
      </c>
      <c r="C1025" s="5">
        <v>8.33</v>
      </c>
      <c r="D1025" s="4">
        <v>0</v>
      </c>
      <c r="E1025" s="5">
        <v>0</v>
      </c>
      <c r="F1025" s="4">
        <v>1</v>
      </c>
      <c r="G1025" s="5">
        <v>20</v>
      </c>
      <c r="H1025" s="4">
        <v>0</v>
      </c>
    </row>
    <row r="1026" spans="1:8" x14ac:dyDescent="0.2">
      <c r="A1026" s="1" t="s">
        <v>64</v>
      </c>
      <c r="B1026" s="4">
        <v>191</v>
      </c>
      <c r="C1026" s="5">
        <v>99.97999999999999</v>
      </c>
      <c r="D1026" s="4">
        <v>124</v>
      </c>
      <c r="E1026" s="5">
        <v>100</v>
      </c>
      <c r="F1026" s="4">
        <v>65</v>
      </c>
      <c r="G1026" s="5">
        <v>100.00000000000001</v>
      </c>
      <c r="H1026" s="4">
        <v>1</v>
      </c>
    </row>
    <row r="1027" spans="1:8" x14ac:dyDescent="0.2">
      <c r="A1027" s="2" t="s">
        <v>65</v>
      </c>
      <c r="B1027" s="4">
        <v>0</v>
      </c>
      <c r="C1027" s="5">
        <v>0</v>
      </c>
      <c r="D1027" s="4">
        <v>0</v>
      </c>
      <c r="E1027" s="5">
        <v>0</v>
      </c>
      <c r="F1027" s="4">
        <v>0</v>
      </c>
      <c r="G1027" s="5">
        <v>0</v>
      </c>
      <c r="H1027" s="4">
        <v>0</v>
      </c>
    </row>
    <row r="1028" spans="1:8" x14ac:dyDescent="0.2">
      <c r="A1028" s="2" t="s">
        <v>66</v>
      </c>
      <c r="B1028" s="4">
        <v>18</v>
      </c>
      <c r="C1028" s="5">
        <v>9.42</v>
      </c>
      <c r="D1028" s="4">
        <v>2</v>
      </c>
      <c r="E1028" s="5">
        <v>1.61</v>
      </c>
      <c r="F1028" s="4">
        <v>16</v>
      </c>
      <c r="G1028" s="5">
        <v>24.62</v>
      </c>
      <c r="H1028" s="4">
        <v>0</v>
      </c>
    </row>
    <row r="1029" spans="1:8" x14ac:dyDescent="0.2">
      <c r="A1029" s="2" t="s">
        <v>67</v>
      </c>
      <c r="B1029" s="4">
        <v>8</v>
      </c>
      <c r="C1029" s="5">
        <v>4.1900000000000004</v>
      </c>
      <c r="D1029" s="4">
        <v>4</v>
      </c>
      <c r="E1029" s="5">
        <v>3.23</v>
      </c>
      <c r="F1029" s="4">
        <v>4</v>
      </c>
      <c r="G1029" s="5">
        <v>6.15</v>
      </c>
      <c r="H1029" s="4">
        <v>0</v>
      </c>
    </row>
    <row r="1030" spans="1:8" x14ac:dyDescent="0.2">
      <c r="A1030" s="2" t="s">
        <v>68</v>
      </c>
      <c r="B1030" s="4">
        <v>1</v>
      </c>
      <c r="C1030" s="5">
        <v>0.52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2">
      <c r="A1031" s="2" t="s">
        <v>69</v>
      </c>
      <c r="B1031" s="4">
        <v>0</v>
      </c>
      <c r="C1031" s="5">
        <v>0</v>
      </c>
      <c r="D1031" s="4">
        <v>0</v>
      </c>
      <c r="E1031" s="5">
        <v>0</v>
      </c>
      <c r="F1031" s="4">
        <v>0</v>
      </c>
      <c r="G1031" s="5">
        <v>0</v>
      </c>
      <c r="H1031" s="4">
        <v>0</v>
      </c>
    </row>
    <row r="1032" spans="1:8" x14ac:dyDescent="0.2">
      <c r="A1032" s="2" t="s">
        <v>70</v>
      </c>
      <c r="B1032" s="4">
        <v>3</v>
      </c>
      <c r="C1032" s="5">
        <v>1.57</v>
      </c>
      <c r="D1032" s="4">
        <v>1</v>
      </c>
      <c r="E1032" s="5">
        <v>0.81</v>
      </c>
      <c r="F1032" s="4">
        <v>2</v>
      </c>
      <c r="G1032" s="5">
        <v>3.08</v>
      </c>
      <c r="H1032" s="4">
        <v>0</v>
      </c>
    </row>
    <row r="1033" spans="1:8" x14ac:dyDescent="0.2">
      <c r="A1033" s="2" t="s">
        <v>71</v>
      </c>
      <c r="B1033" s="4">
        <v>29</v>
      </c>
      <c r="C1033" s="5">
        <v>15.18</v>
      </c>
      <c r="D1033" s="4">
        <v>19</v>
      </c>
      <c r="E1033" s="5">
        <v>15.32</v>
      </c>
      <c r="F1033" s="4">
        <v>10</v>
      </c>
      <c r="G1033" s="5">
        <v>15.38</v>
      </c>
      <c r="H1033" s="4">
        <v>0</v>
      </c>
    </row>
    <row r="1034" spans="1:8" x14ac:dyDescent="0.2">
      <c r="A1034" s="2" t="s">
        <v>72</v>
      </c>
      <c r="B1034" s="4">
        <v>0</v>
      </c>
      <c r="C1034" s="5">
        <v>0</v>
      </c>
      <c r="D1034" s="4">
        <v>0</v>
      </c>
      <c r="E1034" s="5">
        <v>0</v>
      </c>
      <c r="F1034" s="4">
        <v>0</v>
      </c>
      <c r="G1034" s="5">
        <v>0</v>
      </c>
      <c r="H1034" s="4">
        <v>0</v>
      </c>
    </row>
    <row r="1035" spans="1:8" x14ac:dyDescent="0.2">
      <c r="A1035" s="2" t="s">
        <v>73</v>
      </c>
      <c r="B1035" s="4">
        <v>20</v>
      </c>
      <c r="C1035" s="5">
        <v>10.47</v>
      </c>
      <c r="D1035" s="4">
        <v>18</v>
      </c>
      <c r="E1035" s="5">
        <v>14.52</v>
      </c>
      <c r="F1035" s="4">
        <v>2</v>
      </c>
      <c r="G1035" s="5">
        <v>3.08</v>
      </c>
      <c r="H1035" s="4">
        <v>0</v>
      </c>
    </row>
    <row r="1036" spans="1:8" x14ac:dyDescent="0.2">
      <c r="A1036" s="2" t="s">
        <v>74</v>
      </c>
      <c r="B1036" s="4">
        <v>9</v>
      </c>
      <c r="C1036" s="5">
        <v>4.71</v>
      </c>
      <c r="D1036" s="4">
        <v>2</v>
      </c>
      <c r="E1036" s="5">
        <v>1.61</v>
      </c>
      <c r="F1036" s="4">
        <v>6</v>
      </c>
      <c r="G1036" s="5">
        <v>9.23</v>
      </c>
      <c r="H1036" s="4">
        <v>1</v>
      </c>
    </row>
    <row r="1037" spans="1:8" x14ac:dyDescent="0.2">
      <c r="A1037" s="2" t="s">
        <v>75</v>
      </c>
      <c r="B1037" s="4">
        <v>80</v>
      </c>
      <c r="C1037" s="5">
        <v>41.88</v>
      </c>
      <c r="D1037" s="4">
        <v>65</v>
      </c>
      <c r="E1037" s="5">
        <v>52.42</v>
      </c>
      <c r="F1037" s="4">
        <v>15</v>
      </c>
      <c r="G1037" s="5">
        <v>23.08</v>
      </c>
      <c r="H1037" s="4">
        <v>0</v>
      </c>
    </row>
    <row r="1038" spans="1:8" x14ac:dyDescent="0.2">
      <c r="A1038" s="2" t="s">
        <v>76</v>
      </c>
      <c r="B1038" s="4">
        <v>16</v>
      </c>
      <c r="C1038" s="5">
        <v>8.3800000000000008</v>
      </c>
      <c r="D1038" s="4">
        <v>10</v>
      </c>
      <c r="E1038" s="5">
        <v>8.06</v>
      </c>
      <c r="F1038" s="4">
        <v>6</v>
      </c>
      <c r="G1038" s="5">
        <v>9.23</v>
      </c>
      <c r="H1038" s="4">
        <v>0</v>
      </c>
    </row>
    <row r="1039" spans="1:8" x14ac:dyDescent="0.2">
      <c r="A1039" s="2" t="s">
        <v>77</v>
      </c>
      <c r="B1039" s="4">
        <v>1</v>
      </c>
      <c r="C1039" s="5">
        <v>0.52</v>
      </c>
      <c r="D1039" s="4">
        <v>1</v>
      </c>
      <c r="E1039" s="5">
        <v>0.81</v>
      </c>
      <c r="F1039" s="4">
        <v>0</v>
      </c>
      <c r="G1039" s="5">
        <v>0</v>
      </c>
      <c r="H1039" s="4">
        <v>0</v>
      </c>
    </row>
    <row r="1040" spans="1:8" x14ac:dyDescent="0.2">
      <c r="A1040" s="2" t="s">
        <v>78</v>
      </c>
      <c r="B1040" s="4">
        <v>2</v>
      </c>
      <c r="C1040" s="5">
        <v>1.05</v>
      </c>
      <c r="D1040" s="4">
        <v>2</v>
      </c>
      <c r="E1040" s="5">
        <v>1.61</v>
      </c>
      <c r="F1040" s="4">
        <v>0</v>
      </c>
      <c r="G1040" s="5">
        <v>0</v>
      </c>
      <c r="H1040" s="4">
        <v>0</v>
      </c>
    </row>
    <row r="1041" spans="1:8" x14ac:dyDescent="0.2">
      <c r="A1041" s="2" t="s">
        <v>79</v>
      </c>
      <c r="B1041" s="4">
        <v>4</v>
      </c>
      <c r="C1041" s="5">
        <v>2.09</v>
      </c>
      <c r="D1041" s="4">
        <v>0</v>
      </c>
      <c r="E1041" s="5">
        <v>0</v>
      </c>
      <c r="F1041" s="4">
        <v>4</v>
      </c>
      <c r="G1041" s="5">
        <v>6.15</v>
      </c>
      <c r="H104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DAFB8-B9FF-4BC6-B7F1-3731C49A516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647</v>
      </c>
      <c r="D6" s="8">
        <v>8.69</v>
      </c>
      <c r="E6" s="12">
        <v>93</v>
      </c>
      <c r="F6" s="8">
        <v>3.11</v>
      </c>
      <c r="G6" s="12">
        <v>554</v>
      </c>
      <c r="H6" s="8">
        <v>12.49</v>
      </c>
      <c r="I6" s="12">
        <v>0</v>
      </c>
    </row>
    <row r="7" spans="2:9" ht="15" customHeight="1" x14ac:dyDescent="0.2">
      <c r="B7" t="s">
        <v>67</v>
      </c>
      <c r="C7" s="12">
        <v>272</v>
      </c>
      <c r="D7" s="8">
        <v>3.65</v>
      </c>
      <c r="E7" s="12">
        <v>49</v>
      </c>
      <c r="F7" s="8">
        <v>1.64</v>
      </c>
      <c r="G7" s="12">
        <v>223</v>
      </c>
      <c r="H7" s="8">
        <v>5.03</v>
      </c>
      <c r="I7" s="12">
        <v>0</v>
      </c>
    </row>
    <row r="8" spans="2:9" ht="15" customHeight="1" x14ac:dyDescent="0.2">
      <c r="B8" t="s">
        <v>68</v>
      </c>
      <c r="C8" s="12">
        <v>6</v>
      </c>
      <c r="D8" s="8">
        <v>0.08</v>
      </c>
      <c r="E8" s="12">
        <v>0</v>
      </c>
      <c r="F8" s="8">
        <v>0</v>
      </c>
      <c r="G8" s="12">
        <v>6</v>
      </c>
      <c r="H8" s="8">
        <v>0.14000000000000001</v>
      </c>
      <c r="I8" s="12">
        <v>0</v>
      </c>
    </row>
    <row r="9" spans="2:9" ht="15" customHeight="1" x14ac:dyDescent="0.2">
      <c r="B9" t="s">
        <v>69</v>
      </c>
      <c r="C9" s="12">
        <v>280</v>
      </c>
      <c r="D9" s="8">
        <v>3.76</v>
      </c>
      <c r="E9" s="12">
        <v>8</v>
      </c>
      <c r="F9" s="8">
        <v>0.27</v>
      </c>
      <c r="G9" s="12">
        <v>272</v>
      </c>
      <c r="H9" s="8">
        <v>6.13</v>
      </c>
      <c r="I9" s="12">
        <v>0</v>
      </c>
    </row>
    <row r="10" spans="2:9" ht="15" customHeight="1" x14ac:dyDescent="0.2">
      <c r="B10" t="s">
        <v>70</v>
      </c>
      <c r="C10" s="12">
        <v>53</v>
      </c>
      <c r="D10" s="8">
        <v>0.71</v>
      </c>
      <c r="E10" s="12">
        <v>25</v>
      </c>
      <c r="F10" s="8">
        <v>0.84</v>
      </c>
      <c r="G10" s="12">
        <v>28</v>
      </c>
      <c r="H10" s="8">
        <v>0.63</v>
      </c>
      <c r="I10" s="12">
        <v>0</v>
      </c>
    </row>
    <row r="11" spans="2:9" ht="15" customHeight="1" x14ac:dyDescent="0.2">
      <c r="B11" t="s">
        <v>71</v>
      </c>
      <c r="C11" s="12">
        <v>1375</v>
      </c>
      <c r="D11" s="8">
        <v>18.46</v>
      </c>
      <c r="E11" s="12">
        <v>464</v>
      </c>
      <c r="F11" s="8">
        <v>15.53</v>
      </c>
      <c r="G11" s="12">
        <v>911</v>
      </c>
      <c r="H11" s="8">
        <v>20.53</v>
      </c>
      <c r="I11" s="12">
        <v>0</v>
      </c>
    </row>
    <row r="12" spans="2:9" ht="15" customHeight="1" x14ac:dyDescent="0.2">
      <c r="B12" t="s">
        <v>72</v>
      </c>
      <c r="C12" s="12">
        <v>28</v>
      </c>
      <c r="D12" s="8">
        <v>0.38</v>
      </c>
      <c r="E12" s="12">
        <v>3</v>
      </c>
      <c r="F12" s="8">
        <v>0.1</v>
      </c>
      <c r="G12" s="12">
        <v>25</v>
      </c>
      <c r="H12" s="8">
        <v>0.56000000000000005</v>
      </c>
      <c r="I12" s="12">
        <v>0</v>
      </c>
    </row>
    <row r="13" spans="2:9" ht="15" customHeight="1" x14ac:dyDescent="0.2">
      <c r="B13" t="s">
        <v>73</v>
      </c>
      <c r="C13" s="12">
        <v>1608</v>
      </c>
      <c r="D13" s="8">
        <v>21.59</v>
      </c>
      <c r="E13" s="12">
        <v>562</v>
      </c>
      <c r="F13" s="8">
        <v>18.809999999999999</v>
      </c>
      <c r="G13" s="12">
        <v>1046</v>
      </c>
      <c r="H13" s="8">
        <v>23.57</v>
      </c>
      <c r="I13" s="12">
        <v>0</v>
      </c>
    </row>
    <row r="14" spans="2:9" ht="15" customHeight="1" x14ac:dyDescent="0.2">
      <c r="B14" t="s">
        <v>74</v>
      </c>
      <c r="C14" s="12">
        <v>679</v>
      </c>
      <c r="D14" s="8">
        <v>9.1199999999999992</v>
      </c>
      <c r="E14" s="12">
        <v>228</v>
      </c>
      <c r="F14" s="8">
        <v>7.63</v>
      </c>
      <c r="G14" s="12">
        <v>449</v>
      </c>
      <c r="H14" s="8">
        <v>10.119999999999999</v>
      </c>
      <c r="I14" s="12">
        <v>0</v>
      </c>
    </row>
    <row r="15" spans="2:9" ht="15" customHeight="1" x14ac:dyDescent="0.2">
      <c r="B15" t="s">
        <v>75</v>
      </c>
      <c r="C15" s="12">
        <v>905</v>
      </c>
      <c r="D15" s="8">
        <v>12.15</v>
      </c>
      <c r="E15" s="12">
        <v>662</v>
      </c>
      <c r="F15" s="8">
        <v>22.16</v>
      </c>
      <c r="G15" s="12">
        <v>243</v>
      </c>
      <c r="H15" s="8">
        <v>5.48</v>
      </c>
      <c r="I15" s="12">
        <v>0</v>
      </c>
    </row>
    <row r="16" spans="2:9" ht="15" customHeight="1" x14ac:dyDescent="0.2">
      <c r="B16" t="s">
        <v>76</v>
      </c>
      <c r="C16" s="12">
        <v>802</v>
      </c>
      <c r="D16" s="8">
        <v>10.77</v>
      </c>
      <c r="E16" s="12">
        <v>488</v>
      </c>
      <c r="F16" s="8">
        <v>16.329999999999998</v>
      </c>
      <c r="G16" s="12">
        <v>314</v>
      </c>
      <c r="H16" s="8">
        <v>7.08</v>
      </c>
      <c r="I16" s="12">
        <v>0</v>
      </c>
    </row>
    <row r="17" spans="2:9" ht="15" customHeight="1" x14ac:dyDescent="0.2">
      <c r="B17" t="s">
        <v>77</v>
      </c>
      <c r="C17" s="12">
        <v>208</v>
      </c>
      <c r="D17" s="8">
        <v>2.79</v>
      </c>
      <c r="E17" s="12">
        <v>114</v>
      </c>
      <c r="F17" s="8">
        <v>3.82</v>
      </c>
      <c r="G17" s="12">
        <v>93</v>
      </c>
      <c r="H17" s="8">
        <v>2.1</v>
      </c>
      <c r="I17" s="12">
        <v>1</v>
      </c>
    </row>
    <row r="18" spans="2:9" ht="15" customHeight="1" x14ac:dyDescent="0.2">
      <c r="B18" t="s">
        <v>78</v>
      </c>
      <c r="C18" s="12">
        <v>378</v>
      </c>
      <c r="D18" s="8">
        <v>5.08</v>
      </c>
      <c r="E18" s="12">
        <v>256</v>
      </c>
      <c r="F18" s="8">
        <v>8.57</v>
      </c>
      <c r="G18" s="12">
        <v>120</v>
      </c>
      <c r="H18" s="8">
        <v>2.7</v>
      </c>
      <c r="I18" s="12">
        <v>0</v>
      </c>
    </row>
    <row r="19" spans="2:9" ht="15" customHeight="1" x14ac:dyDescent="0.2">
      <c r="B19" t="s">
        <v>79</v>
      </c>
      <c r="C19" s="12">
        <v>206</v>
      </c>
      <c r="D19" s="8">
        <v>2.77</v>
      </c>
      <c r="E19" s="12">
        <v>36</v>
      </c>
      <c r="F19" s="8">
        <v>1.2</v>
      </c>
      <c r="G19" s="12">
        <v>153</v>
      </c>
      <c r="H19" s="8">
        <v>3.45</v>
      </c>
      <c r="I19" s="12">
        <v>2</v>
      </c>
    </row>
    <row r="20" spans="2:9" ht="15" customHeight="1" x14ac:dyDescent="0.2">
      <c r="B20" s="9" t="s">
        <v>280</v>
      </c>
      <c r="C20" s="12">
        <f>SUM(LTBL_13114[総数／事業所数])</f>
        <v>7447</v>
      </c>
      <c r="E20" s="12">
        <f>SUBTOTAL(109,LTBL_13114[個人／事業所数])</f>
        <v>2988</v>
      </c>
      <c r="G20" s="12">
        <f>SUBTOTAL(109,LTBL_13114[法人／事業所数])</f>
        <v>4437</v>
      </c>
      <c r="I20" s="12">
        <f>SUBTOTAL(109,LTBL_13114[法人以外の団体／事業所数])</f>
        <v>3</v>
      </c>
    </row>
    <row r="21" spans="2:9" ht="15" customHeight="1" x14ac:dyDescent="0.2">
      <c r="E21" s="11">
        <f>LTBL_13114[[#Totals],[個人／事業所数]]/LTBL_13114[[#Totals],[総数／事業所数]]</f>
        <v>0.40123539680408216</v>
      </c>
      <c r="G21" s="11">
        <f>LTBL_13114[[#Totals],[法人／事業所数]]/LTBL_13114[[#Totals],[総数／事業所数]]</f>
        <v>0.59581039344702569</v>
      </c>
      <c r="I21" s="11">
        <f>LTBL_13114[[#Totals],[法人以外の団体／事業所数]]/LTBL_13114[[#Totals],[総数／事業所数]]</f>
        <v>4.0284678393984153E-4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1404</v>
      </c>
      <c r="D24" s="8">
        <v>18.850000000000001</v>
      </c>
      <c r="E24" s="12">
        <v>553</v>
      </c>
      <c r="F24" s="8">
        <v>18.510000000000002</v>
      </c>
      <c r="G24" s="12">
        <v>851</v>
      </c>
      <c r="H24" s="8">
        <v>19.18</v>
      </c>
      <c r="I24" s="12">
        <v>0</v>
      </c>
    </row>
    <row r="25" spans="2:9" ht="15" customHeight="1" x14ac:dyDescent="0.2">
      <c r="B25" t="s">
        <v>103</v>
      </c>
      <c r="C25" s="12">
        <v>855</v>
      </c>
      <c r="D25" s="8">
        <v>11.48</v>
      </c>
      <c r="E25" s="12">
        <v>653</v>
      </c>
      <c r="F25" s="8">
        <v>21.85</v>
      </c>
      <c r="G25" s="12">
        <v>202</v>
      </c>
      <c r="H25" s="8">
        <v>4.55</v>
      </c>
      <c r="I25" s="12">
        <v>0</v>
      </c>
    </row>
    <row r="26" spans="2:9" ht="15" customHeight="1" x14ac:dyDescent="0.2">
      <c r="B26" t="s">
        <v>104</v>
      </c>
      <c r="C26" s="12">
        <v>613</v>
      </c>
      <c r="D26" s="8">
        <v>8.23</v>
      </c>
      <c r="E26" s="12">
        <v>438</v>
      </c>
      <c r="F26" s="8">
        <v>14.66</v>
      </c>
      <c r="G26" s="12">
        <v>175</v>
      </c>
      <c r="H26" s="8">
        <v>3.94</v>
      </c>
      <c r="I26" s="12">
        <v>0</v>
      </c>
    </row>
    <row r="27" spans="2:9" ht="15" customHeight="1" x14ac:dyDescent="0.2">
      <c r="B27" t="s">
        <v>101</v>
      </c>
      <c r="C27" s="12">
        <v>439</v>
      </c>
      <c r="D27" s="8">
        <v>5.89</v>
      </c>
      <c r="E27" s="12">
        <v>181</v>
      </c>
      <c r="F27" s="8">
        <v>6.06</v>
      </c>
      <c r="G27" s="12">
        <v>258</v>
      </c>
      <c r="H27" s="8">
        <v>5.81</v>
      </c>
      <c r="I27" s="12">
        <v>0</v>
      </c>
    </row>
    <row r="28" spans="2:9" ht="15" customHeight="1" x14ac:dyDescent="0.2">
      <c r="B28" t="s">
        <v>98</v>
      </c>
      <c r="C28" s="12">
        <v>417</v>
      </c>
      <c r="D28" s="8">
        <v>5.6</v>
      </c>
      <c r="E28" s="12">
        <v>191</v>
      </c>
      <c r="F28" s="8">
        <v>6.39</v>
      </c>
      <c r="G28" s="12">
        <v>226</v>
      </c>
      <c r="H28" s="8">
        <v>5.09</v>
      </c>
      <c r="I28" s="12">
        <v>0</v>
      </c>
    </row>
    <row r="29" spans="2:9" ht="15" customHeight="1" x14ac:dyDescent="0.2">
      <c r="B29" t="s">
        <v>106</v>
      </c>
      <c r="C29" s="12">
        <v>320</v>
      </c>
      <c r="D29" s="8">
        <v>4.3</v>
      </c>
      <c r="E29" s="12">
        <v>256</v>
      </c>
      <c r="F29" s="8">
        <v>8.57</v>
      </c>
      <c r="G29" s="12">
        <v>64</v>
      </c>
      <c r="H29" s="8">
        <v>1.44</v>
      </c>
      <c r="I29" s="12">
        <v>0</v>
      </c>
    </row>
    <row r="30" spans="2:9" ht="15" customHeight="1" x14ac:dyDescent="0.2">
      <c r="B30" t="s">
        <v>96</v>
      </c>
      <c r="C30" s="12">
        <v>264</v>
      </c>
      <c r="D30" s="8">
        <v>3.55</v>
      </c>
      <c r="E30" s="12">
        <v>137</v>
      </c>
      <c r="F30" s="8">
        <v>4.59</v>
      </c>
      <c r="G30" s="12">
        <v>127</v>
      </c>
      <c r="H30" s="8">
        <v>2.86</v>
      </c>
      <c r="I30" s="12">
        <v>0</v>
      </c>
    </row>
    <row r="31" spans="2:9" ht="15" customHeight="1" x14ac:dyDescent="0.2">
      <c r="B31" t="s">
        <v>89</v>
      </c>
      <c r="C31" s="12">
        <v>249</v>
      </c>
      <c r="D31" s="8">
        <v>3.34</v>
      </c>
      <c r="E31" s="12">
        <v>44</v>
      </c>
      <c r="F31" s="8">
        <v>1.47</v>
      </c>
      <c r="G31" s="12">
        <v>205</v>
      </c>
      <c r="H31" s="8">
        <v>4.62</v>
      </c>
      <c r="I31" s="12">
        <v>0</v>
      </c>
    </row>
    <row r="32" spans="2:9" ht="15" customHeight="1" x14ac:dyDescent="0.2">
      <c r="B32" t="s">
        <v>88</v>
      </c>
      <c r="C32" s="12">
        <v>231</v>
      </c>
      <c r="D32" s="8">
        <v>3.1</v>
      </c>
      <c r="E32" s="12">
        <v>31</v>
      </c>
      <c r="F32" s="8">
        <v>1.04</v>
      </c>
      <c r="G32" s="12">
        <v>200</v>
      </c>
      <c r="H32" s="8">
        <v>4.51</v>
      </c>
      <c r="I32" s="12">
        <v>0</v>
      </c>
    </row>
    <row r="33" spans="2:9" ht="15" customHeight="1" x14ac:dyDescent="0.2">
      <c r="B33" t="s">
        <v>105</v>
      </c>
      <c r="C33" s="12">
        <v>208</v>
      </c>
      <c r="D33" s="8">
        <v>2.79</v>
      </c>
      <c r="E33" s="12">
        <v>114</v>
      </c>
      <c r="F33" s="8">
        <v>3.82</v>
      </c>
      <c r="G33" s="12">
        <v>93</v>
      </c>
      <c r="H33" s="8">
        <v>2.1</v>
      </c>
      <c r="I33" s="12">
        <v>1</v>
      </c>
    </row>
    <row r="34" spans="2:9" ht="15" customHeight="1" x14ac:dyDescent="0.2">
      <c r="B34" t="s">
        <v>102</v>
      </c>
      <c r="C34" s="12">
        <v>204</v>
      </c>
      <c r="D34" s="8">
        <v>2.74</v>
      </c>
      <c r="E34" s="12">
        <v>47</v>
      </c>
      <c r="F34" s="8">
        <v>1.57</v>
      </c>
      <c r="G34" s="12">
        <v>155</v>
      </c>
      <c r="H34" s="8">
        <v>3.49</v>
      </c>
      <c r="I34" s="12">
        <v>0</v>
      </c>
    </row>
    <row r="35" spans="2:9" ht="15" customHeight="1" x14ac:dyDescent="0.2">
      <c r="B35" t="s">
        <v>99</v>
      </c>
      <c r="C35" s="12">
        <v>183</v>
      </c>
      <c r="D35" s="8">
        <v>2.46</v>
      </c>
      <c r="E35" s="12">
        <v>8</v>
      </c>
      <c r="F35" s="8">
        <v>0.27</v>
      </c>
      <c r="G35" s="12">
        <v>175</v>
      </c>
      <c r="H35" s="8">
        <v>3.94</v>
      </c>
      <c r="I35" s="12">
        <v>0</v>
      </c>
    </row>
    <row r="36" spans="2:9" ht="15" customHeight="1" x14ac:dyDescent="0.2">
      <c r="B36" t="s">
        <v>90</v>
      </c>
      <c r="C36" s="12">
        <v>167</v>
      </c>
      <c r="D36" s="8">
        <v>2.2400000000000002</v>
      </c>
      <c r="E36" s="12">
        <v>18</v>
      </c>
      <c r="F36" s="8">
        <v>0.6</v>
      </c>
      <c r="G36" s="12">
        <v>149</v>
      </c>
      <c r="H36" s="8">
        <v>3.36</v>
      </c>
      <c r="I36" s="12">
        <v>0</v>
      </c>
    </row>
    <row r="37" spans="2:9" ht="15" customHeight="1" x14ac:dyDescent="0.2">
      <c r="B37" t="s">
        <v>95</v>
      </c>
      <c r="C37" s="12">
        <v>148</v>
      </c>
      <c r="D37" s="8">
        <v>1.99</v>
      </c>
      <c r="E37" s="12">
        <v>69</v>
      </c>
      <c r="F37" s="8">
        <v>2.31</v>
      </c>
      <c r="G37" s="12">
        <v>79</v>
      </c>
      <c r="H37" s="8">
        <v>1.78</v>
      </c>
      <c r="I37" s="12">
        <v>0</v>
      </c>
    </row>
    <row r="38" spans="2:9" ht="15" customHeight="1" x14ac:dyDescent="0.2">
      <c r="B38" t="s">
        <v>92</v>
      </c>
      <c r="C38" s="12">
        <v>129</v>
      </c>
      <c r="D38" s="8">
        <v>1.73</v>
      </c>
      <c r="E38" s="12">
        <v>6</v>
      </c>
      <c r="F38" s="8">
        <v>0.2</v>
      </c>
      <c r="G38" s="12">
        <v>123</v>
      </c>
      <c r="H38" s="8">
        <v>2.77</v>
      </c>
      <c r="I38" s="12">
        <v>0</v>
      </c>
    </row>
    <row r="39" spans="2:9" ht="15" customHeight="1" x14ac:dyDescent="0.2">
      <c r="B39" t="s">
        <v>107</v>
      </c>
      <c r="C39" s="12">
        <v>125</v>
      </c>
      <c r="D39" s="8">
        <v>1.68</v>
      </c>
      <c r="E39" s="12">
        <v>10</v>
      </c>
      <c r="F39" s="8">
        <v>0.33</v>
      </c>
      <c r="G39" s="12">
        <v>115</v>
      </c>
      <c r="H39" s="8">
        <v>2.59</v>
      </c>
      <c r="I39" s="12">
        <v>0</v>
      </c>
    </row>
    <row r="40" spans="2:9" ht="15" customHeight="1" x14ac:dyDescent="0.2">
      <c r="B40" t="s">
        <v>91</v>
      </c>
      <c r="C40" s="12">
        <v>117</v>
      </c>
      <c r="D40" s="8">
        <v>1.57</v>
      </c>
      <c r="E40" s="12">
        <v>2</v>
      </c>
      <c r="F40" s="8">
        <v>7.0000000000000007E-2</v>
      </c>
      <c r="G40" s="12">
        <v>115</v>
      </c>
      <c r="H40" s="8">
        <v>2.59</v>
      </c>
      <c r="I40" s="12">
        <v>0</v>
      </c>
    </row>
    <row r="41" spans="2:9" ht="15" customHeight="1" x14ac:dyDescent="0.2">
      <c r="B41" t="s">
        <v>94</v>
      </c>
      <c r="C41" s="12">
        <v>107</v>
      </c>
      <c r="D41" s="8">
        <v>1.44</v>
      </c>
      <c r="E41" s="12">
        <v>6</v>
      </c>
      <c r="F41" s="8">
        <v>0.2</v>
      </c>
      <c r="G41" s="12">
        <v>101</v>
      </c>
      <c r="H41" s="8">
        <v>2.2799999999999998</v>
      </c>
      <c r="I41" s="12">
        <v>0</v>
      </c>
    </row>
    <row r="42" spans="2:9" ht="15" customHeight="1" x14ac:dyDescent="0.2">
      <c r="B42" t="s">
        <v>97</v>
      </c>
      <c r="C42" s="12">
        <v>106</v>
      </c>
      <c r="D42" s="8">
        <v>1.42</v>
      </c>
      <c r="E42" s="12">
        <v>38</v>
      </c>
      <c r="F42" s="8">
        <v>1.27</v>
      </c>
      <c r="G42" s="12">
        <v>68</v>
      </c>
      <c r="H42" s="8">
        <v>1.53</v>
      </c>
      <c r="I42" s="12">
        <v>0</v>
      </c>
    </row>
    <row r="43" spans="2:9" ht="15" customHeight="1" x14ac:dyDescent="0.2">
      <c r="B43" t="s">
        <v>114</v>
      </c>
      <c r="C43" s="12">
        <v>103</v>
      </c>
      <c r="D43" s="8">
        <v>1.38</v>
      </c>
      <c r="E43" s="12">
        <v>21</v>
      </c>
      <c r="F43" s="8">
        <v>0.7</v>
      </c>
      <c r="G43" s="12">
        <v>82</v>
      </c>
      <c r="H43" s="8">
        <v>1.85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952</v>
      </c>
      <c r="D47" s="8">
        <v>12.78</v>
      </c>
      <c r="E47" s="12">
        <v>500</v>
      </c>
      <c r="F47" s="8">
        <v>16.73</v>
      </c>
      <c r="G47" s="12">
        <v>452</v>
      </c>
      <c r="H47" s="8">
        <v>10.19</v>
      </c>
      <c r="I47" s="12">
        <v>0</v>
      </c>
    </row>
    <row r="48" spans="2:9" ht="15" customHeight="1" x14ac:dyDescent="0.2">
      <c r="B48" t="s">
        <v>163</v>
      </c>
      <c r="C48" s="12">
        <v>287</v>
      </c>
      <c r="D48" s="8">
        <v>3.85</v>
      </c>
      <c r="E48" s="12">
        <v>11</v>
      </c>
      <c r="F48" s="8">
        <v>0.37</v>
      </c>
      <c r="G48" s="12">
        <v>276</v>
      </c>
      <c r="H48" s="8">
        <v>6.22</v>
      </c>
      <c r="I48" s="12">
        <v>0</v>
      </c>
    </row>
    <row r="49" spans="2:9" ht="15" customHeight="1" x14ac:dyDescent="0.2">
      <c r="B49" t="s">
        <v>172</v>
      </c>
      <c r="C49" s="12">
        <v>276</v>
      </c>
      <c r="D49" s="8">
        <v>3.71</v>
      </c>
      <c r="E49" s="12">
        <v>208</v>
      </c>
      <c r="F49" s="8">
        <v>6.96</v>
      </c>
      <c r="G49" s="12">
        <v>68</v>
      </c>
      <c r="H49" s="8">
        <v>1.53</v>
      </c>
      <c r="I49" s="12">
        <v>0</v>
      </c>
    </row>
    <row r="50" spans="2:9" ht="15" customHeight="1" x14ac:dyDescent="0.2">
      <c r="B50" t="s">
        <v>168</v>
      </c>
      <c r="C50" s="12">
        <v>274</v>
      </c>
      <c r="D50" s="8">
        <v>3.68</v>
      </c>
      <c r="E50" s="12">
        <v>194</v>
      </c>
      <c r="F50" s="8">
        <v>6.49</v>
      </c>
      <c r="G50" s="12">
        <v>80</v>
      </c>
      <c r="H50" s="8">
        <v>1.8</v>
      </c>
      <c r="I50" s="12">
        <v>0</v>
      </c>
    </row>
    <row r="51" spans="2:9" ht="15" customHeight="1" x14ac:dyDescent="0.2">
      <c r="B51" t="s">
        <v>169</v>
      </c>
      <c r="C51" s="12">
        <v>233</v>
      </c>
      <c r="D51" s="8">
        <v>3.13</v>
      </c>
      <c r="E51" s="12">
        <v>185</v>
      </c>
      <c r="F51" s="8">
        <v>6.19</v>
      </c>
      <c r="G51" s="12">
        <v>48</v>
      </c>
      <c r="H51" s="8">
        <v>1.08</v>
      </c>
      <c r="I51" s="12">
        <v>0</v>
      </c>
    </row>
    <row r="52" spans="2:9" ht="15" customHeight="1" x14ac:dyDescent="0.2">
      <c r="B52" t="s">
        <v>175</v>
      </c>
      <c r="C52" s="12">
        <v>192</v>
      </c>
      <c r="D52" s="8">
        <v>2.58</v>
      </c>
      <c r="E52" s="12">
        <v>145</v>
      </c>
      <c r="F52" s="8">
        <v>4.8499999999999996</v>
      </c>
      <c r="G52" s="12">
        <v>47</v>
      </c>
      <c r="H52" s="8">
        <v>1.06</v>
      </c>
      <c r="I52" s="12">
        <v>0</v>
      </c>
    </row>
    <row r="53" spans="2:9" ht="15" customHeight="1" x14ac:dyDescent="0.2">
      <c r="B53" t="s">
        <v>159</v>
      </c>
      <c r="C53" s="12">
        <v>166</v>
      </c>
      <c r="D53" s="8">
        <v>2.23</v>
      </c>
      <c r="E53" s="12">
        <v>100</v>
      </c>
      <c r="F53" s="8">
        <v>3.35</v>
      </c>
      <c r="G53" s="12">
        <v>66</v>
      </c>
      <c r="H53" s="8">
        <v>1.49</v>
      </c>
      <c r="I53" s="12">
        <v>0</v>
      </c>
    </row>
    <row r="54" spans="2:9" ht="15" customHeight="1" x14ac:dyDescent="0.2">
      <c r="B54" t="s">
        <v>173</v>
      </c>
      <c r="C54" s="12">
        <v>147</v>
      </c>
      <c r="D54" s="8">
        <v>1.97</v>
      </c>
      <c r="E54" s="12">
        <v>93</v>
      </c>
      <c r="F54" s="8">
        <v>3.11</v>
      </c>
      <c r="G54" s="12">
        <v>53</v>
      </c>
      <c r="H54" s="8">
        <v>1.19</v>
      </c>
      <c r="I54" s="12">
        <v>1</v>
      </c>
    </row>
    <row r="55" spans="2:9" ht="15" customHeight="1" x14ac:dyDescent="0.2">
      <c r="B55" t="s">
        <v>160</v>
      </c>
      <c r="C55" s="12">
        <v>143</v>
      </c>
      <c r="D55" s="8">
        <v>1.92</v>
      </c>
      <c r="E55" s="12">
        <v>7</v>
      </c>
      <c r="F55" s="8">
        <v>0.23</v>
      </c>
      <c r="G55" s="12">
        <v>136</v>
      </c>
      <c r="H55" s="8">
        <v>3.07</v>
      </c>
      <c r="I55" s="12">
        <v>0</v>
      </c>
    </row>
    <row r="56" spans="2:9" ht="15" customHeight="1" x14ac:dyDescent="0.2">
      <c r="B56" t="s">
        <v>167</v>
      </c>
      <c r="C56" s="12">
        <v>142</v>
      </c>
      <c r="D56" s="8">
        <v>1.91</v>
      </c>
      <c r="E56" s="12">
        <v>21</v>
      </c>
      <c r="F56" s="8">
        <v>0.7</v>
      </c>
      <c r="G56" s="12">
        <v>119</v>
      </c>
      <c r="H56" s="8">
        <v>2.68</v>
      </c>
      <c r="I56" s="12">
        <v>0</v>
      </c>
    </row>
    <row r="57" spans="2:9" ht="15" customHeight="1" x14ac:dyDescent="0.2">
      <c r="B57" t="s">
        <v>171</v>
      </c>
      <c r="C57" s="12">
        <v>137</v>
      </c>
      <c r="D57" s="8">
        <v>1.84</v>
      </c>
      <c r="E57" s="12">
        <v>123</v>
      </c>
      <c r="F57" s="8">
        <v>4.12</v>
      </c>
      <c r="G57" s="12">
        <v>14</v>
      </c>
      <c r="H57" s="8">
        <v>0.32</v>
      </c>
      <c r="I57" s="12">
        <v>0</v>
      </c>
    </row>
    <row r="58" spans="2:9" ht="15" customHeight="1" x14ac:dyDescent="0.2">
      <c r="B58" t="s">
        <v>197</v>
      </c>
      <c r="C58" s="12">
        <v>132</v>
      </c>
      <c r="D58" s="8">
        <v>1.77</v>
      </c>
      <c r="E58" s="12">
        <v>66</v>
      </c>
      <c r="F58" s="8">
        <v>2.21</v>
      </c>
      <c r="G58" s="12">
        <v>66</v>
      </c>
      <c r="H58" s="8">
        <v>1.49</v>
      </c>
      <c r="I58" s="12">
        <v>0</v>
      </c>
    </row>
    <row r="59" spans="2:9" ht="15" customHeight="1" x14ac:dyDescent="0.2">
      <c r="B59" t="s">
        <v>161</v>
      </c>
      <c r="C59" s="12">
        <v>129</v>
      </c>
      <c r="D59" s="8">
        <v>1.73</v>
      </c>
      <c r="E59" s="12">
        <v>25</v>
      </c>
      <c r="F59" s="8">
        <v>0.84</v>
      </c>
      <c r="G59" s="12">
        <v>104</v>
      </c>
      <c r="H59" s="8">
        <v>2.34</v>
      </c>
      <c r="I59" s="12">
        <v>0</v>
      </c>
    </row>
    <row r="60" spans="2:9" ht="15" customHeight="1" x14ac:dyDescent="0.2">
      <c r="B60" t="s">
        <v>166</v>
      </c>
      <c r="C60" s="12">
        <v>123</v>
      </c>
      <c r="D60" s="8">
        <v>1.65</v>
      </c>
      <c r="E60" s="12">
        <v>7</v>
      </c>
      <c r="F60" s="8">
        <v>0.23</v>
      </c>
      <c r="G60" s="12">
        <v>116</v>
      </c>
      <c r="H60" s="8">
        <v>2.61</v>
      </c>
      <c r="I60" s="12">
        <v>0</v>
      </c>
    </row>
    <row r="61" spans="2:9" ht="15" customHeight="1" x14ac:dyDescent="0.2">
      <c r="B61" t="s">
        <v>170</v>
      </c>
      <c r="C61" s="12">
        <v>123</v>
      </c>
      <c r="D61" s="8">
        <v>1.65</v>
      </c>
      <c r="E61" s="12">
        <v>107</v>
      </c>
      <c r="F61" s="8">
        <v>3.58</v>
      </c>
      <c r="G61" s="12">
        <v>16</v>
      </c>
      <c r="H61" s="8">
        <v>0.36</v>
      </c>
      <c r="I61" s="12">
        <v>0</v>
      </c>
    </row>
    <row r="62" spans="2:9" ht="15" customHeight="1" x14ac:dyDescent="0.2">
      <c r="B62" t="s">
        <v>174</v>
      </c>
      <c r="C62" s="12">
        <v>116</v>
      </c>
      <c r="D62" s="8">
        <v>1.56</v>
      </c>
      <c r="E62" s="12">
        <v>109</v>
      </c>
      <c r="F62" s="8">
        <v>3.65</v>
      </c>
      <c r="G62" s="12">
        <v>7</v>
      </c>
      <c r="H62" s="8">
        <v>0.16</v>
      </c>
      <c r="I62" s="12">
        <v>0</v>
      </c>
    </row>
    <row r="63" spans="2:9" ht="15" customHeight="1" x14ac:dyDescent="0.2">
      <c r="B63" t="s">
        <v>158</v>
      </c>
      <c r="C63" s="12">
        <v>101</v>
      </c>
      <c r="D63" s="8">
        <v>1.36</v>
      </c>
      <c r="E63" s="12">
        <v>55</v>
      </c>
      <c r="F63" s="8">
        <v>1.84</v>
      </c>
      <c r="G63" s="12">
        <v>46</v>
      </c>
      <c r="H63" s="8">
        <v>1.04</v>
      </c>
      <c r="I63" s="12">
        <v>0</v>
      </c>
    </row>
    <row r="64" spans="2:9" ht="15" customHeight="1" x14ac:dyDescent="0.2">
      <c r="B64" t="s">
        <v>200</v>
      </c>
      <c r="C64" s="12">
        <v>98</v>
      </c>
      <c r="D64" s="8">
        <v>1.32</v>
      </c>
      <c r="E64" s="12">
        <v>12</v>
      </c>
      <c r="F64" s="8">
        <v>0.4</v>
      </c>
      <c r="G64" s="12">
        <v>86</v>
      </c>
      <c r="H64" s="8">
        <v>1.94</v>
      </c>
      <c r="I64" s="12">
        <v>0</v>
      </c>
    </row>
    <row r="65" spans="2:9" ht="15" customHeight="1" x14ac:dyDescent="0.2">
      <c r="B65" t="s">
        <v>157</v>
      </c>
      <c r="C65" s="12">
        <v>98</v>
      </c>
      <c r="D65" s="8">
        <v>1.32</v>
      </c>
      <c r="E65" s="12">
        <v>2</v>
      </c>
      <c r="F65" s="8">
        <v>7.0000000000000007E-2</v>
      </c>
      <c r="G65" s="12">
        <v>96</v>
      </c>
      <c r="H65" s="8">
        <v>2.16</v>
      </c>
      <c r="I65" s="12">
        <v>0</v>
      </c>
    </row>
    <row r="66" spans="2:9" ht="15" customHeight="1" x14ac:dyDescent="0.2">
      <c r="B66" t="s">
        <v>164</v>
      </c>
      <c r="C66" s="12">
        <v>98</v>
      </c>
      <c r="D66" s="8">
        <v>1.32</v>
      </c>
      <c r="E66" s="12">
        <v>91</v>
      </c>
      <c r="F66" s="8">
        <v>3.05</v>
      </c>
      <c r="G66" s="12">
        <v>7</v>
      </c>
      <c r="H66" s="8">
        <v>0.16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E01A-9C1D-4FCD-BA17-2B34E3ED835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927</v>
      </c>
      <c r="D6" s="8">
        <v>7.61</v>
      </c>
      <c r="E6" s="12">
        <v>118</v>
      </c>
      <c r="F6" s="8">
        <v>2.2999999999999998</v>
      </c>
      <c r="G6" s="12">
        <v>809</v>
      </c>
      <c r="H6" s="8">
        <v>11.51</v>
      </c>
      <c r="I6" s="12">
        <v>0</v>
      </c>
    </row>
    <row r="7" spans="2:9" ht="15" customHeight="1" x14ac:dyDescent="0.2">
      <c r="B7" t="s">
        <v>67</v>
      </c>
      <c r="C7" s="12">
        <v>363</v>
      </c>
      <c r="D7" s="8">
        <v>2.98</v>
      </c>
      <c r="E7" s="12">
        <v>66</v>
      </c>
      <c r="F7" s="8">
        <v>1.29</v>
      </c>
      <c r="G7" s="12">
        <v>297</v>
      </c>
      <c r="H7" s="8">
        <v>4.2300000000000004</v>
      </c>
      <c r="I7" s="12">
        <v>0</v>
      </c>
    </row>
    <row r="8" spans="2:9" ht="15" customHeight="1" x14ac:dyDescent="0.2">
      <c r="B8" t="s">
        <v>68</v>
      </c>
      <c r="C8" s="12">
        <v>10</v>
      </c>
      <c r="D8" s="8">
        <v>0.08</v>
      </c>
      <c r="E8" s="12">
        <v>0</v>
      </c>
      <c r="F8" s="8">
        <v>0</v>
      </c>
      <c r="G8" s="12">
        <v>10</v>
      </c>
      <c r="H8" s="8">
        <v>0.14000000000000001</v>
      </c>
      <c r="I8" s="12">
        <v>0</v>
      </c>
    </row>
    <row r="9" spans="2:9" ht="15" customHeight="1" x14ac:dyDescent="0.2">
      <c r="B9" t="s">
        <v>69</v>
      </c>
      <c r="C9" s="12">
        <v>475</v>
      </c>
      <c r="D9" s="8">
        <v>3.9</v>
      </c>
      <c r="E9" s="12">
        <v>17</v>
      </c>
      <c r="F9" s="8">
        <v>0.33</v>
      </c>
      <c r="G9" s="12">
        <v>458</v>
      </c>
      <c r="H9" s="8">
        <v>6.52</v>
      </c>
      <c r="I9" s="12">
        <v>0</v>
      </c>
    </row>
    <row r="10" spans="2:9" ht="15" customHeight="1" x14ac:dyDescent="0.2">
      <c r="B10" t="s">
        <v>70</v>
      </c>
      <c r="C10" s="12">
        <v>88</v>
      </c>
      <c r="D10" s="8">
        <v>0.72</v>
      </c>
      <c r="E10" s="12">
        <v>43</v>
      </c>
      <c r="F10" s="8">
        <v>0.84</v>
      </c>
      <c r="G10" s="12">
        <v>45</v>
      </c>
      <c r="H10" s="8">
        <v>0.64</v>
      </c>
      <c r="I10" s="12">
        <v>0</v>
      </c>
    </row>
    <row r="11" spans="2:9" ht="15" customHeight="1" x14ac:dyDescent="0.2">
      <c r="B11" t="s">
        <v>71</v>
      </c>
      <c r="C11" s="12">
        <v>2288</v>
      </c>
      <c r="D11" s="8">
        <v>18.79</v>
      </c>
      <c r="E11" s="12">
        <v>876</v>
      </c>
      <c r="F11" s="8">
        <v>17.079999999999998</v>
      </c>
      <c r="G11" s="12">
        <v>1410</v>
      </c>
      <c r="H11" s="8">
        <v>20.059999999999999</v>
      </c>
      <c r="I11" s="12">
        <v>2</v>
      </c>
    </row>
    <row r="12" spans="2:9" ht="15" customHeight="1" x14ac:dyDescent="0.2">
      <c r="B12" t="s">
        <v>72</v>
      </c>
      <c r="C12" s="12">
        <v>37</v>
      </c>
      <c r="D12" s="8">
        <v>0.3</v>
      </c>
      <c r="E12" s="12">
        <v>1</v>
      </c>
      <c r="F12" s="8">
        <v>0.02</v>
      </c>
      <c r="G12" s="12">
        <v>36</v>
      </c>
      <c r="H12" s="8">
        <v>0.51</v>
      </c>
      <c r="I12" s="12">
        <v>0</v>
      </c>
    </row>
    <row r="13" spans="2:9" ht="15" customHeight="1" x14ac:dyDescent="0.2">
      <c r="B13" t="s">
        <v>73</v>
      </c>
      <c r="C13" s="12">
        <v>2493</v>
      </c>
      <c r="D13" s="8">
        <v>20.47</v>
      </c>
      <c r="E13" s="12">
        <v>810</v>
      </c>
      <c r="F13" s="8">
        <v>15.79</v>
      </c>
      <c r="G13" s="12">
        <v>1681</v>
      </c>
      <c r="H13" s="8">
        <v>23.92</v>
      </c>
      <c r="I13" s="12">
        <v>2</v>
      </c>
    </row>
    <row r="14" spans="2:9" ht="15" customHeight="1" x14ac:dyDescent="0.2">
      <c r="B14" t="s">
        <v>74</v>
      </c>
      <c r="C14" s="12">
        <v>1155</v>
      </c>
      <c r="D14" s="8">
        <v>9.49</v>
      </c>
      <c r="E14" s="12">
        <v>420</v>
      </c>
      <c r="F14" s="8">
        <v>8.19</v>
      </c>
      <c r="G14" s="12">
        <v>734</v>
      </c>
      <c r="H14" s="8">
        <v>10.44</v>
      </c>
      <c r="I14" s="12">
        <v>0</v>
      </c>
    </row>
    <row r="15" spans="2:9" ht="15" customHeight="1" x14ac:dyDescent="0.2">
      <c r="B15" t="s">
        <v>75</v>
      </c>
      <c r="C15" s="12">
        <v>1658</v>
      </c>
      <c r="D15" s="8">
        <v>13.62</v>
      </c>
      <c r="E15" s="12">
        <v>1239</v>
      </c>
      <c r="F15" s="8">
        <v>24.16</v>
      </c>
      <c r="G15" s="12">
        <v>417</v>
      </c>
      <c r="H15" s="8">
        <v>5.93</v>
      </c>
      <c r="I15" s="12">
        <v>1</v>
      </c>
    </row>
    <row r="16" spans="2:9" ht="15" customHeight="1" x14ac:dyDescent="0.2">
      <c r="B16" t="s">
        <v>76</v>
      </c>
      <c r="C16" s="12">
        <v>1235</v>
      </c>
      <c r="D16" s="8">
        <v>10.14</v>
      </c>
      <c r="E16" s="12">
        <v>726</v>
      </c>
      <c r="F16" s="8">
        <v>14.15</v>
      </c>
      <c r="G16" s="12">
        <v>506</v>
      </c>
      <c r="H16" s="8">
        <v>7.2</v>
      </c>
      <c r="I16" s="12">
        <v>3</v>
      </c>
    </row>
    <row r="17" spans="2:9" ht="15" customHeight="1" x14ac:dyDescent="0.2">
      <c r="B17" t="s">
        <v>77</v>
      </c>
      <c r="C17" s="12">
        <v>434</v>
      </c>
      <c r="D17" s="8">
        <v>3.56</v>
      </c>
      <c r="E17" s="12">
        <v>275</v>
      </c>
      <c r="F17" s="8">
        <v>5.36</v>
      </c>
      <c r="G17" s="12">
        <v>158</v>
      </c>
      <c r="H17" s="8">
        <v>2.25</v>
      </c>
      <c r="I17" s="12">
        <v>1</v>
      </c>
    </row>
    <row r="18" spans="2:9" ht="15" customHeight="1" x14ac:dyDescent="0.2">
      <c r="B18" t="s">
        <v>78</v>
      </c>
      <c r="C18" s="12">
        <v>695</v>
      </c>
      <c r="D18" s="8">
        <v>5.71</v>
      </c>
      <c r="E18" s="12">
        <v>475</v>
      </c>
      <c r="F18" s="8">
        <v>9.26</v>
      </c>
      <c r="G18" s="12">
        <v>213</v>
      </c>
      <c r="H18" s="8">
        <v>3.03</v>
      </c>
      <c r="I18" s="12">
        <v>0</v>
      </c>
    </row>
    <row r="19" spans="2:9" ht="15" customHeight="1" x14ac:dyDescent="0.2">
      <c r="B19" t="s">
        <v>79</v>
      </c>
      <c r="C19" s="12">
        <v>319</v>
      </c>
      <c r="D19" s="8">
        <v>2.62</v>
      </c>
      <c r="E19" s="12">
        <v>63</v>
      </c>
      <c r="F19" s="8">
        <v>1.23</v>
      </c>
      <c r="G19" s="12">
        <v>255</v>
      </c>
      <c r="H19" s="8">
        <v>3.63</v>
      </c>
      <c r="I19" s="12">
        <v>1</v>
      </c>
    </row>
    <row r="20" spans="2:9" ht="15" customHeight="1" x14ac:dyDescent="0.2">
      <c r="B20" s="9" t="s">
        <v>280</v>
      </c>
      <c r="C20" s="12">
        <f>SUM(LTBL_13115[総数／事業所数])</f>
        <v>12177</v>
      </c>
      <c r="E20" s="12">
        <f>SUBTOTAL(109,LTBL_13115[個人／事業所数])</f>
        <v>5129</v>
      </c>
      <c r="G20" s="12">
        <f>SUBTOTAL(109,LTBL_13115[法人／事業所数])</f>
        <v>7029</v>
      </c>
      <c r="I20" s="12">
        <f>SUBTOTAL(109,LTBL_13115[法人以外の団体／事業所数])</f>
        <v>10</v>
      </c>
    </row>
    <row r="21" spans="2:9" ht="15" customHeight="1" x14ac:dyDescent="0.2">
      <c r="E21" s="11">
        <f>LTBL_13115[[#Totals],[個人／事業所数]]/LTBL_13115[[#Totals],[総数／事業所数]]</f>
        <v>0.42120390900878707</v>
      </c>
      <c r="G21" s="11">
        <f>LTBL_13115[[#Totals],[法人／事業所数]]/LTBL_13115[[#Totals],[総数／事業所数]]</f>
        <v>0.57723577235772361</v>
      </c>
      <c r="I21" s="11">
        <f>LTBL_13115[[#Totals],[法人以外の団体／事業所数]]/LTBL_13115[[#Totals],[総数／事業所数]]</f>
        <v>8.212203334154554E-4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2142</v>
      </c>
      <c r="D24" s="8">
        <v>17.59</v>
      </c>
      <c r="E24" s="12">
        <v>779</v>
      </c>
      <c r="F24" s="8">
        <v>15.19</v>
      </c>
      <c r="G24" s="12">
        <v>1361</v>
      </c>
      <c r="H24" s="8">
        <v>19.36</v>
      </c>
      <c r="I24" s="12">
        <v>2</v>
      </c>
    </row>
    <row r="25" spans="2:9" ht="15" customHeight="1" x14ac:dyDescent="0.2">
      <c r="B25" t="s">
        <v>103</v>
      </c>
      <c r="C25" s="12">
        <v>1555</v>
      </c>
      <c r="D25" s="8">
        <v>12.77</v>
      </c>
      <c r="E25" s="12">
        <v>1230</v>
      </c>
      <c r="F25" s="8">
        <v>23.98</v>
      </c>
      <c r="G25" s="12">
        <v>324</v>
      </c>
      <c r="H25" s="8">
        <v>4.6100000000000003</v>
      </c>
      <c r="I25" s="12">
        <v>1</v>
      </c>
    </row>
    <row r="26" spans="2:9" ht="15" customHeight="1" x14ac:dyDescent="0.2">
      <c r="B26" t="s">
        <v>104</v>
      </c>
      <c r="C26" s="12">
        <v>956</v>
      </c>
      <c r="D26" s="8">
        <v>7.85</v>
      </c>
      <c r="E26" s="12">
        <v>649</v>
      </c>
      <c r="F26" s="8">
        <v>12.65</v>
      </c>
      <c r="G26" s="12">
        <v>307</v>
      </c>
      <c r="H26" s="8">
        <v>4.37</v>
      </c>
      <c r="I26" s="12">
        <v>0</v>
      </c>
    </row>
    <row r="27" spans="2:9" ht="15" customHeight="1" x14ac:dyDescent="0.2">
      <c r="B27" t="s">
        <v>101</v>
      </c>
      <c r="C27" s="12">
        <v>813</v>
      </c>
      <c r="D27" s="8">
        <v>6.68</v>
      </c>
      <c r="E27" s="12">
        <v>347</v>
      </c>
      <c r="F27" s="8">
        <v>6.77</v>
      </c>
      <c r="G27" s="12">
        <v>466</v>
      </c>
      <c r="H27" s="8">
        <v>6.63</v>
      </c>
      <c r="I27" s="12">
        <v>0</v>
      </c>
    </row>
    <row r="28" spans="2:9" ht="15" customHeight="1" x14ac:dyDescent="0.2">
      <c r="B28" t="s">
        <v>98</v>
      </c>
      <c r="C28" s="12">
        <v>731</v>
      </c>
      <c r="D28" s="8">
        <v>6</v>
      </c>
      <c r="E28" s="12">
        <v>384</v>
      </c>
      <c r="F28" s="8">
        <v>7.49</v>
      </c>
      <c r="G28" s="12">
        <v>346</v>
      </c>
      <c r="H28" s="8">
        <v>4.92</v>
      </c>
      <c r="I28" s="12">
        <v>1</v>
      </c>
    </row>
    <row r="29" spans="2:9" ht="15" customHeight="1" x14ac:dyDescent="0.2">
      <c r="B29" t="s">
        <v>106</v>
      </c>
      <c r="C29" s="12">
        <v>584</v>
      </c>
      <c r="D29" s="8">
        <v>4.8</v>
      </c>
      <c r="E29" s="12">
        <v>473</v>
      </c>
      <c r="F29" s="8">
        <v>9.2200000000000006</v>
      </c>
      <c r="G29" s="12">
        <v>111</v>
      </c>
      <c r="H29" s="8">
        <v>1.58</v>
      </c>
      <c r="I29" s="12">
        <v>0</v>
      </c>
    </row>
    <row r="30" spans="2:9" ht="15" customHeight="1" x14ac:dyDescent="0.2">
      <c r="B30" t="s">
        <v>105</v>
      </c>
      <c r="C30" s="12">
        <v>434</v>
      </c>
      <c r="D30" s="8">
        <v>3.56</v>
      </c>
      <c r="E30" s="12">
        <v>275</v>
      </c>
      <c r="F30" s="8">
        <v>5.36</v>
      </c>
      <c r="G30" s="12">
        <v>158</v>
      </c>
      <c r="H30" s="8">
        <v>2.25</v>
      </c>
      <c r="I30" s="12">
        <v>1</v>
      </c>
    </row>
    <row r="31" spans="2:9" ht="15" customHeight="1" x14ac:dyDescent="0.2">
      <c r="B31" t="s">
        <v>96</v>
      </c>
      <c r="C31" s="12">
        <v>411</v>
      </c>
      <c r="D31" s="8">
        <v>3.38</v>
      </c>
      <c r="E31" s="12">
        <v>235</v>
      </c>
      <c r="F31" s="8">
        <v>4.58</v>
      </c>
      <c r="G31" s="12">
        <v>176</v>
      </c>
      <c r="H31" s="8">
        <v>2.5</v>
      </c>
      <c r="I31" s="12">
        <v>0</v>
      </c>
    </row>
    <row r="32" spans="2:9" ht="15" customHeight="1" x14ac:dyDescent="0.2">
      <c r="B32" t="s">
        <v>88</v>
      </c>
      <c r="C32" s="12">
        <v>359</v>
      </c>
      <c r="D32" s="8">
        <v>2.95</v>
      </c>
      <c r="E32" s="12">
        <v>36</v>
      </c>
      <c r="F32" s="8">
        <v>0.7</v>
      </c>
      <c r="G32" s="12">
        <v>323</v>
      </c>
      <c r="H32" s="8">
        <v>4.5999999999999996</v>
      </c>
      <c r="I32" s="12">
        <v>0</v>
      </c>
    </row>
    <row r="33" spans="2:9" ht="15" customHeight="1" x14ac:dyDescent="0.2">
      <c r="B33" t="s">
        <v>89</v>
      </c>
      <c r="C33" s="12">
        <v>340</v>
      </c>
      <c r="D33" s="8">
        <v>2.79</v>
      </c>
      <c r="E33" s="12">
        <v>61</v>
      </c>
      <c r="F33" s="8">
        <v>1.19</v>
      </c>
      <c r="G33" s="12">
        <v>279</v>
      </c>
      <c r="H33" s="8">
        <v>3.97</v>
      </c>
      <c r="I33" s="12">
        <v>0</v>
      </c>
    </row>
    <row r="34" spans="2:9" ht="15" customHeight="1" x14ac:dyDescent="0.2">
      <c r="B34" t="s">
        <v>99</v>
      </c>
      <c r="C34" s="12">
        <v>324</v>
      </c>
      <c r="D34" s="8">
        <v>2.66</v>
      </c>
      <c r="E34" s="12">
        <v>30</v>
      </c>
      <c r="F34" s="8">
        <v>0.57999999999999996</v>
      </c>
      <c r="G34" s="12">
        <v>294</v>
      </c>
      <c r="H34" s="8">
        <v>4.18</v>
      </c>
      <c r="I34" s="12">
        <v>0</v>
      </c>
    </row>
    <row r="35" spans="2:9" ht="15" customHeight="1" x14ac:dyDescent="0.2">
      <c r="B35" t="s">
        <v>95</v>
      </c>
      <c r="C35" s="12">
        <v>303</v>
      </c>
      <c r="D35" s="8">
        <v>2.4900000000000002</v>
      </c>
      <c r="E35" s="12">
        <v>146</v>
      </c>
      <c r="F35" s="8">
        <v>2.85</v>
      </c>
      <c r="G35" s="12">
        <v>157</v>
      </c>
      <c r="H35" s="8">
        <v>2.23</v>
      </c>
      <c r="I35" s="12">
        <v>0</v>
      </c>
    </row>
    <row r="36" spans="2:9" ht="15" customHeight="1" x14ac:dyDescent="0.2">
      <c r="B36" t="s">
        <v>102</v>
      </c>
      <c r="C36" s="12">
        <v>288</v>
      </c>
      <c r="D36" s="8">
        <v>2.37</v>
      </c>
      <c r="E36" s="12">
        <v>71</v>
      </c>
      <c r="F36" s="8">
        <v>1.38</v>
      </c>
      <c r="G36" s="12">
        <v>216</v>
      </c>
      <c r="H36" s="8">
        <v>3.07</v>
      </c>
      <c r="I36" s="12">
        <v>0</v>
      </c>
    </row>
    <row r="37" spans="2:9" ht="15" customHeight="1" x14ac:dyDescent="0.2">
      <c r="B37" t="s">
        <v>92</v>
      </c>
      <c r="C37" s="12">
        <v>259</v>
      </c>
      <c r="D37" s="8">
        <v>2.13</v>
      </c>
      <c r="E37" s="12">
        <v>13</v>
      </c>
      <c r="F37" s="8">
        <v>0.25</v>
      </c>
      <c r="G37" s="12">
        <v>246</v>
      </c>
      <c r="H37" s="8">
        <v>3.5</v>
      </c>
      <c r="I37" s="12">
        <v>0</v>
      </c>
    </row>
    <row r="38" spans="2:9" ht="15" customHeight="1" x14ac:dyDescent="0.2">
      <c r="B38" t="s">
        <v>90</v>
      </c>
      <c r="C38" s="12">
        <v>228</v>
      </c>
      <c r="D38" s="8">
        <v>1.87</v>
      </c>
      <c r="E38" s="12">
        <v>21</v>
      </c>
      <c r="F38" s="8">
        <v>0.41</v>
      </c>
      <c r="G38" s="12">
        <v>207</v>
      </c>
      <c r="H38" s="8">
        <v>2.94</v>
      </c>
      <c r="I38" s="12">
        <v>0</v>
      </c>
    </row>
    <row r="39" spans="2:9" ht="15" customHeight="1" x14ac:dyDescent="0.2">
      <c r="B39" t="s">
        <v>94</v>
      </c>
      <c r="C39" s="12">
        <v>183</v>
      </c>
      <c r="D39" s="8">
        <v>1.5</v>
      </c>
      <c r="E39" s="12">
        <v>19</v>
      </c>
      <c r="F39" s="8">
        <v>0.37</v>
      </c>
      <c r="G39" s="12">
        <v>164</v>
      </c>
      <c r="H39" s="8">
        <v>2.33</v>
      </c>
      <c r="I39" s="12">
        <v>0</v>
      </c>
    </row>
    <row r="40" spans="2:9" ht="15" customHeight="1" x14ac:dyDescent="0.2">
      <c r="B40" t="s">
        <v>107</v>
      </c>
      <c r="C40" s="12">
        <v>179</v>
      </c>
      <c r="D40" s="8">
        <v>1.47</v>
      </c>
      <c r="E40" s="12">
        <v>13</v>
      </c>
      <c r="F40" s="8">
        <v>0.25</v>
      </c>
      <c r="G40" s="12">
        <v>165</v>
      </c>
      <c r="H40" s="8">
        <v>2.35</v>
      </c>
      <c r="I40" s="12">
        <v>1</v>
      </c>
    </row>
    <row r="41" spans="2:9" ht="15" customHeight="1" x14ac:dyDescent="0.2">
      <c r="B41" t="s">
        <v>97</v>
      </c>
      <c r="C41" s="12">
        <v>172</v>
      </c>
      <c r="D41" s="8">
        <v>1.41</v>
      </c>
      <c r="E41" s="12">
        <v>62</v>
      </c>
      <c r="F41" s="8">
        <v>1.21</v>
      </c>
      <c r="G41" s="12">
        <v>110</v>
      </c>
      <c r="H41" s="8">
        <v>1.56</v>
      </c>
      <c r="I41" s="12">
        <v>0</v>
      </c>
    </row>
    <row r="42" spans="2:9" ht="15" customHeight="1" x14ac:dyDescent="0.2">
      <c r="B42" t="s">
        <v>91</v>
      </c>
      <c r="C42" s="12">
        <v>165</v>
      </c>
      <c r="D42" s="8">
        <v>1.36</v>
      </c>
      <c r="E42" s="12">
        <v>3</v>
      </c>
      <c r="F42" s="8">
        <v>0.06</v>
      </c>
      <c r="G42" s="12">
        <v>162</v>
      </c>
      <c r="H42" s="8">
        <v>2.2999999999999998</v>
      </c>
      <c r="I42" s="12">
        <v>0</v>
      </c>
    </row>
    <row r="43" spans="2:9" ht="15" customHeight="1" x14ac:dyDescent="0.2">
      <c r="B43" t="s">
        <v>114</v>
      </c>
      <c r="C43" s="12">
        <v>150</v>
      </c>
      <c r="D43" s="8">
        <v>1.23</v>
      </c>
      <c r="E43" s="12">
        <v>30</v>
      </c>
      <c r="F43" s="8">
        <v>0.57999999999999996</v>
      </c>
      <c r="G43" s="12">
        <v>117</v>
      </c>
      <c r="H43" s="8">
        <v>1.66</v>
      </c>
      <c r="I43" s="12">
        <v>3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1446</v>
      </c>
      <c r="D47" s="8">
        <v>11.87</v>
      </c>
      <c r="E47" s="12">
        <v>708</v>
      </c>
      <c r="F47" s="8">
        <v>13.8</v>
      </c>
      <c r="G47" s="12">
        <v>738</v>
      </c>
      <c r="H47" s="8">
        <v>10.5</v>
      </c>
      <c r="I47" s="12">
        <v>0</v>
      </c>
    </row>
    <row r="48" spans="2:9" ht="15" customHeight="1" x14ac:dyDescent="0.2">
      <c r="B48" t="s">
        <v>168</v>
      </c>
      <c r="C48" s="12">
        <v>505</v>
      </c>
      <c r="D48" s="8">
        <v>4.1500000000000004</v>
      </c>
      <c r="E48" s="12">
        <v>375</v>
      </c>
      <c r="F48" s="8">
        <v>7.31</v>
      </c>
      <c r="G48" s="12">
        <v>130</v>
      </c>
      <c r="H48" s="8">
        <v>1.85</v>
      </c>
      <c r="I48" s="12">
        <v>0</v>
      </c>
    </row>
    <row r="49" spans="2:9" ht="15" customHeight="1" x14ac:dyDescent="0.2">
      <c r="B49" t="s">
        <v>172</v>
      </c>
      <c r="C49" s="12">
        <v>453</v>
      </c>
      <c r="D49" s="8">
        <v>3.72</v>
      </c>
      <c r="E49" s="12">
        <v>325</v>
      </c>
      <c r="F49" s="8">
        <v>6.34</v>
      </c>
      <c r="G49" s="12">
        <v>128</v>
      </c>
      <c r="H49" s="8">
        <v>1.82</v>
      </c>
      <c r="I49" s="12">
        <v>0</v>
      </c>
    </row>
    <row r="50" spans="2:9" ht="15" customHeight="1" x14ac:dyDescent="0.2">
      <c r="B50" t="s">
        <v>163</v>
      </c>
      <c r="C50" s="12">
        <v>413</v>
      </c>
      <c r="D50" s="8">
        <v>3.39</v>
      </c>
      <c r="E50" s="12">
        <v>15</v>
      </c>
      <c r="F50" s="8">
        <v>0.28999999999999998</v>
      </c>
      <c r="G50" s="12">
        <v>397</v>
      </c>
      <c r="H50" s="8">
        <v>5.65</v>
      </c>
      <c r="I50" s="12">
        <v>1</v>
      </c>
    </row>
    <row r="51" spans="2:9" ht="15" customHeight="1" x14ac:dyDescent="0.2">
      <c r="B51" t="s">
        <v>169</v>
      </c>
      <c r="C51" s="12">
        <v>367</v>
      </c>
      <c r="D51" s="8">
        <v>3.01</v>
      </c>
      <c r="E51" s="12">
        <v>305</v>
      </c>
      <c r="F51" s="8">
        <v>5.95</v>
      </c>
      <c r="G51" s="12">
        <v>62</v>
      </c>
      <c r="H51" s="8">
        <v>0.88</v>
      </c>
      <c r="I51" s="12">
        <v>0</v>
      </c>
    </row>
    <row r="52" spans="2:9" ht="15" customHeight="1" x14ac:dyDescent="0.2">
      <c r="B52" t="s">
        <v>175</v>
      </c>
      <c r="C52" s="12">
        <v>360</v>
      </c>
      <c r="D52" s="8">
        <v>2.96</v>
      </c>
      <c r="E52" s="12">
        <v>293</v>
      </c>
      <c r="F52" s="8">
        <v>5.71</v>
      </c>
      <c r="G52" s="12">
        <v>67</v>
      </c>
      <c r="H52" s="8">
        <v>0.95</v>
      </c>
      <c r="I52" s="12">
        <v>0</v>
      </c>
    </row>
    <row r="53" spans="2:9" ht="15" customHeight="1" x14ac:dyDescent="0.2">
      <c r="B53" t="s">
        <v>159</v>
      </c>
      <c r="C53" s="12">
        <v>335</v>
      </c>
      <c r="D53" s="8">
        <v>2.75</v>
      </c>
      <c r="E53" s="12">
        <v>225</v>
      </c>
      <c r="F53" s="8">
        <v>4.3899999999999997</v>
      </c>
      <c r="G53" s="12">
        <v>110</v>
      </c>
      <c r="H53" s="8">
        <v>1.56</v>
      </c>
      <c r="I53" s="12">
        <v>0</v>
      </c>
    </row>
    <row r="54" spans="2:9" ht="15" customHeight="1" x14ac:dyDescent="0.2">
      <c r="B54" t="s">
        <v>173</v>
      </c>
      <c r="C54" s="12">
        <v>331</v>
      </c>
      <c r="D54" s="8">
        <v>2.72</v>
      </c>
      <c r="E54" s="12">
        <v>230</v>
      </c>
      <c r="F54" s="8">
        <v>4.4800000000000004</v>
      </c>
      <c r="G54" s="12">
        <v>100</v>
      </c>
      <c r="H54" s="8">
        <v>1.42</v>
      </c>
      <c r="I54" s="12">
        <v>1</v>
      </c>
    </row>
    <row r="55" spans="2:9" ht="15" customHeight="1" x14ac:dyDescent="0.2">
      <c r="B55" t="s">
        <v>170</v>
      </c>
      <c r="C55" s="12">
        <v>261</v>
      </c>
      <c r="D55" s="8">
        <v>2.14</v>
      </c>
      <c r="E55" s="12">
        <v>218</v>
      </c>
      <c r="F55" s="8">
        <v>4.25</v>
      </c>
      <c r="G55" s="12">
        <v>43</v>
      </c>
      <c r="H55" s="8">
        <v>0.61</v>
      </c>
      <c r="I55" s="12">
        <v>0</v>
      </c>
    </row>
    <row r="56" spans="2:9" ht="15" customHeight="1" x14ac:dyDescent="0.2">
      <c r="B56" t="s">
        <v>160</v>
      </c>
      <c r="C56" s="12">
        <v>259</v>
      </c>
      <c r="D56" s="8">
        <v>2.13</v>
      </c>
      <c r="E56" s="12">
        <v>30</v>
      </c>
      <c r="F56" s="8">
        <v>0.57999999999999996</v>
      </c>
      <c r="G56" s="12">
        <v>229</v>
      </c>
      <c r="H56" s="8">
        <v>3.26</v>
      </c>
      <c r="I56" s="12">
        <v>0</v>
      </c>
    </row>
    <row r="57" spans="2:9" ht="15" customHeight="1" x14ac:dyDescent="0.2">
      <c r="B57" t="s">
        <v>166</v>
      </c>
      <c r="C57" s="12">
        <v>247</v>
      </c>
      <c r="D57" s="8">
        <v>2.0299999999999998</v>
      </c>
      <c r="E57" s="12">
        <v>12</v>
      </c>
      <c r="F57" s="8">
        <v>0.23</v>
      </c>
      <c r="G57" s="12">
        <v>235</v>
      </c>
      <c r="H57" s="8">
        <v>3.34</v>
      </c>
      <c r="I57" s="12">
        <v>0</v>
      </c>
    </row>
    <row r="58" spans="2:9" ht="15" customHeight="1" x14ac:dyDescent="0.2">
      <c r="B58" t="s">
        <v>161</v>
      </c>
      <c r="C58" s="12">
        <v>236</v>
      </c>
      <c r="D58" s="8">
        <v>1.94</v>
      </c>
      <c r="E58" s="12">
        <v>38</v>
      </c>
      <c r="F58" s="8">
        <v>0.74</v>
      </c>
      <c r="G58" s="12">
        <v>197</v>
      </c>
      <c r="H58" s="8">
        <v>2.8</v>
      </c>
      <c r="I58" s="12">
        <v>1</v>
      </c>
    </row>
    <row r="59" spans="2:9" ht="15" customHeight="1" x14ac:dyDescent="0.2">
      <c r="B59" t="s">
        <v>171</v>
      </c>
      <c r="C59" s="12">
        <v>220</v>
      </c>
      <c r="D59" s="8">
        <v>1.81</v>
      </c>
      <c r="E59" s="12">
        <v>197</v>
      </c>
      <c r="F59" s="8">
        <v>3.84</v>
      </c>
      <c r="G59" s="12">
        <v>23</v>
      </c>
      <c r="H59" s="8">
        <v>0.33</v>
      </c>
      <c r="I59" s="12">
        <v>0</v>
      </c>
    </row>
    <row r="60" spans="2:9" ht="15" customHeight="1" x14ac:dyDescent="0.2">
      <c r="B60" t="s">
        <v>174</v>
      </c>
      <c r="C60" s="12">
        <v>194</v>
      </c>
      <c r="D60" s="8">
        <v>1.59</v>
      </c>
      <c r="E60" s="12">
        <v>170</v>
      </c>
      <c r="F60" s="8">
        <v>3.31</v>
      </c>
      <c r="G60" s="12">
        <v>24</v>
      </c>
      <c r="H60" s="8">
        <v>0.34</v>
      </c>
      <c r="I60" s="12">
        <v>0</v>
      </c>
    </row>
    <row r="61" spans="2:9" ht="15" customHeight="1" x14ac:dyDescent="0.2">
      <c r="B61" t="s">
        <v>197</v>
      </c>
      <c r="C61" s="12">
        <v>191</v>
      </c>
      <c r="D61" s="8">
        <v>1.57</v>
      </c>
      <c r="E61" s="12">
        <v>74</v>
      </c>
      <c r="F61" s="8">
        <v>1.44</v>
      </c>
      <c r="G61" s="12">
        <v>117</v>
      </c>
      <c r="H61" s="8">
        <v>1.66</v>
      </c>
      <c r="I61" s="12">
        <v>0</v>
      </c>
    </row>
    <row r="62" spans="2:9" ht="15" customHeight="1" x14ac:dyDescent="0.2">
      <c r="B62" t="s">
        <v>191</v>
      </c>
      <c r="C62" s="12">
        <v>190</v>
      </c>
      <c r="D62" s="8">
        <v>1.56</v>
      </c>
      <c r="E62" s="12">
        <v>165</v>
      </c>
      <c r="F62" s="8">
        <v>3.22</v>
      </c>
      <c r="G62" s="12">
        <v>24</v>
      </c>
      <c r="H62" s="8">
        <v>0.34</v>
      </c>
      <c r="I62" s="12">
        <v>1</v>
      </c>
    </row>
    <row r="63" spans="2:9" ht="15" customHeight="1" x14ac:dyDescent="0.2">
      <c r="B63" t="s">
        <v>167</v>
      </c>
      <c r="C63" s="12">
        <v>183</v>
      </c>
      <c r="D63" s="8">
        <v>1.5</v>
      </c>
      <c r="E63" s="12">
        <v>36</v>
      </c>
      <c r="F63" s="8">
        <v>0.7</v>
      </c>
      <c r="G63" s="12">
        <v>146</v>
      </c>
      <c r="H63" s="8">
        <v>2.08</v>
      </c>
      <c r="I63" s="12">
        <v>0</v>
      </c>
    </row>
    <row r="64" spans="2:9" ht="15" customHeight="1" x14ac:dyDescent="0.2">
      <c r="B64" t="s">
        <v>164</v>
      </c>
      <c r="C64" s="12">
        <v>182</v>
      </c>
      <c r="D64" s="8">
        <v>1.49</v>
      </c>
      <c r="E64" s="12">
        <v>176</v>
      </c>
      <c r="F64" s="8">
        <v>3.43</v>
      </c>
      <c r="G64" s="12">
        <v>6</v>
      </c>
      <c r="H64" s="8">
        <v>0.09</v>
      </c>
      <c r="I64" s="12">
        <v>0</v>
      </c>
    </row>
    <row r="65" spans="2:9" ht="15" customHeight="1" x14ac:dyDescent="0.2">
      <c r="B65" t="s">
        <v>158</v>
      </c>
      <c r="C65" s="12">
        <v>164</v>
      </c>
      <c r="D65" s="8">
        <v>1.35</v>
      </c>
      <c r="E65" s="12">
        <v>87</v>
      </c>
      <c r="F65" s="8">
        <v>1.7</v>
      </c>
      <c r="G65" s="12">
        <v>77</v>
      </c>
      <c r="H65" s="8">
        <v>1.1000000000000001</v>
      </c>
      <c r="I65" s="12">
        <v>0</v>
      </c>
    </row>
    <row r="66" spans="2:9" ht="15" customHeight="1" x14ac:dyDescent="0.2">
      <c r="B66" t="s">
        <v>199</v>
      </c>
      <c r="C66" s="12">
        <v>151</v>
      </c>
      <c r="D66" s="8">
        <v>1.24</v>
      </c>
      <c r="E66" s="12">
        <v>71</v>
      </c>
      <c r="F66" s="8">
        <v>1.38</v>
      </c>
      <c r="G66" s="12">
        <v>80</v>
      </c>
      <c r="H66" s="8">
        <v>1.1399999999999999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80CE-4F03-435A-B47B-8A3370BEDB6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676</v>
      </c>
      <c r="D6" s="8">
        <v>6.87</v>
      </c>
      <c r="E6" s="12">
        <v>55</v>
      </c>
      <c r="F6" s="8">
        <v>1.75</v>
      </c>
      <c r="G6" s="12">
        <v>621</v>
      </c>
      <c r="H6" s="8">
        <v>9.2899999999999991</v>
      </c>
      <c r="I6" s="12">
        <v>0</v>
      </c>
    </row>
    <row r="7" spans="2:9" ht="15" customHeight="1" x14ac:dyDescent="0.2">
      <c r="B7" t="s">
        <v>67</v>
      </c>
      <c r="C7" s="12">
        <v>526</v>
      </c>
      <c r="D7" s="8">
        <v>5.34</v>
      </c>
      <c r="E7" s="12">
        <v>71</v>
      </c>
      <c r="F7" s="8">
        <v>2.2599999999999998</v>
      </c>
      <c r="G7" s="12">
        <v>455</v>
      </c>
      <c r="H7" s="8">
        <v>6.8</v>
      </c>
      <c r="I7" s="12">
        <v>0</v>
      </c>
    </row>
    <row r="8" spans="2:9" ht="15" customHeight="1" x14ac:dyDescent="0.2">
      <c r="B8" t="s">
        <v>68</v>
      </c>
      <c r="C8" s="12">
        <v>8</v>
      </c>
      <c r="D8" s="8">
        <v>0.08</v>
      </c>
      <c r="E8" s="12">
        <v>0</v>
      </c>
      <c r="F8" s="8">
        <v>0</v>
      </c>
      <c r="G8" s="12">
        <v>8</v>
      </c>
      <c r="H8" s="8">
        <v>0.12</v>
      </c>
      <c r="I8" s="12">
        <v>0</v>
      </c>
    </row>
    <row r="9" spans="2:9" ht="15" customHeight="1" x14ac:dyDescent="0.2">
      <c r="B9" t="s">
        <v>69</v>
      </c>
      <c r="C9" s="12">
        <v>449</v>
      </c>
      <c r="D9" s="8">
        <v>4.5599999999999996</v>
      </c>
      <c r="E9" s="12">
        <v>13</v>
      </c>
      <c r="F9" s="8">
        <v>0.41</v>
      </c>
      <c r="G9" s="12">
        <v>435</v>
      </c>
      <c r="H9" s="8">
        <v>6.5</v>
      </c>
      <c r="I9" s="12">
        <v>1</v>
      </c>
    </row>
    <row r="10" spans="2:9" ht="15" customHeight="1" x14ac:dyDescent="0.2">
      <c r="B10" t="s">
        <v>70</v>
      </c>
      <c r="C10" s="12">
        <v>63</v>
      </c>
      <c r="D10" s="8">
        <v>0.64</v>
      </c>
      <c r="E10" s="12">
        <v>23</v>
      </c>
      <c r="F10" s="8">
        <v>0.73</v>
      </c>
      <c r="G10" s="12">
        <v>40</v>
      </c>
      <c r="H10" s="8">
        <v>0.6</v>
      </c>
      <c r="I10" s="12">
        <v>0</v>
      </c>
    </row>
    <row r="11" spans="2:9" ht="15" customHeight="1" x14ac:dyDescent="0.2">
      <c r="B11" t="s">
        <v>71</v>
      </c>
      <c r="C11" s="12">
        <v>2051</v>
      </c>
      <c r="D11" s="8">
        <v>20.83</v>
      </c>
      <c r="E11" s="12">
        <v>453</v>
      </c>
      <c r="F11" s="8">
        <v>14.44</v>
      </c>
      <c r="G11" s="12">
        <v>1598</v>
      </c>
      <c r="H11" s="8">
        <v>23.89</v>
      </c>
      <c r="I11" s="12">
        <v>0</v>
      </c>
    </row>
    <row r="12" spans="2:9" ht="15" customHeight="1" x14ac:dyDescent="0.2">
      <c r="B12" t="s">
        <v>72</v>
      </c>
      <c r="C12" s="12">
        <v>64</v>
      </c>
      <c r="D12" s="8">
        <v>0.65</v>
      </c>
      <c r="E12" s="12">
        <v>3</v>
      </c>
      <c r="F12" s="8">
        <v>0.1</v>
      </c>
      <c r="G12" s="12">
        <v>61</v>
      </c>
      <c r="H12" s="8">
        <v>0.91</v>
      </c>
      <c r="I12" s="12">
        <v>0</v>
      </c>
    </row>
    <row r="13" spans="2:9" ht="15" customHeight="1" x14ac:dyDescent="0.2">
      <c r="B13" t="s">
        <v>73</v>
      </c>
      <c r="C13" s="12">
        <v>1624</v>
      </c>
      <c r="D13" s="8">
        <v>16.489999999999998</v>
      </c>
      <c r="E13" s="12">
        <v>306</v>
      </c>
      <c r="F13" s="8">
        <v>9.75</v>
      </c>
      <c r="G13" s="12">
        <v>1316</v>
      </c>
      <c r="H13" s="8">
        <v>19.68</v>
      </c>
      <c r="I13" s="12">
        <v>2</v>
      </c>
    </row>
    <row r="14" spans="2:9" ht="15" customHeight="1" x14ac:dyDescent="0.2">
      <c r="B14" t="s">
        <v>74</v>
      </c>
      <c r="C14" s="12">
        <v>1279</v>
      </c>
      <c r="D14" s="8">
        <v>12.99</v>
      </c>
      <c r="E14" s="12">
        <v>551</v>
      </c>
      <c r="F14" s="8">
        <v>17.559999999999999</v>
      </c>
      <c r="G14" s="12">
        <v>721</v>
      </c>
      <c r="H14" s="8">
        <v>10.78</v>
      </c>
      <c r="I14" s="12">
        <v>6</v>
      </c>
    </row>
    <row r="15" spans="2:9" ht="15" customHeight="1" x14ac:dyDescent="0.2">
      <c r="B15" t="s">
        <v>75</v>
      </c>
      <c r="C15" s="12">
        <v>1126</v>
      </c>
      <c r="D15" s="8">
        <v>11.44</v>
      </c>
      <c r="E15" s="12">
        <v>699</v>
      </c>
      <c r="F15" s="8">
        <v>22.28</v>
      </c>
      <c r="G15" s="12">
        <v>427</v>
      </c>
      <c r="H15" s="8">
        <v>6.38</v>
      </c>
      <c r="I15" s="12">
        <v>0</v>
      </c>
    </row>
    <row r="16" spans="2:9" ht="15" customHeight="1" x14ac:dyDescent="0.2">
      <c r="B16" t="s">
        <v>76</v>
      </c>
      <c r="C16" s="12">
        <v>820</v>
      </c>
      <c r="D16" s="8">
        <v>8.33</v>
      </c>
      <c r="E16" s="12">
        <v>467</v>
      </c>
      <c r="F16" s="8">
        <v>14.88</v>
      </c>
      <c r="G16" s="12">
        <v>351</v>
      </c>
      <c r="H16" s="8">
        <v>5.25</v>
      </c>
      <c r="I16" s="12">
        <v>2</v>
      </c>
    </row>
    <row r="17" spans="2:9" ht="15" customHeight="1" x14ac:dyDescent="0.2">
      <c r="B17" t="s">
        <v>77</v>
      </c>
      <c r="C17" s="12">
        <v>294</v>
      </c>
      <c r="D17" s="8">
        <v>2.99</v>
      </c>
      <c r="E17" s="12">
        <v>132</v>
      </c>
      <c r="F17" s="8">
        <v>4.21</v>
      </c>
      <c r="G17" s="12">
        <v>161</v>
      </c>
      <c r="H17" s="8">
        <v>2.41</v>
      </c>
      <c r="I17" s="12">
        <v>1</v>
      </c>
    </row>
    <row r="18" spans="2:9" ht="15" customHeight="1" x14ac:dyDescent="0.2">
      <c r="B18" t="s">
        <v>78</v>
      </c>
      <c r="C18" s="12">
        <v>517</v>
      </c>
      <c r="D18" s="8">
        <v>5.25</v>
      </c>
      <c r="E18" s="12">
        <v>346</v>
      </c>
      <c r="F18" s="8">
        <v>11.03</v>
      </c>
      <c r="G18" s="12">
        <v>168</v>
      </c>
      <c r="H18" s="8">
        <v>2.5099999999999998</v>
      </c>
      <c r="I18" s="12">
        <v>3</v>
      </c>
    </row>
    <row r="19" spans="2:9" ht="15" customHeight="1" x14ac:dyDescent="0.2">
      <c r="B19" t="s">
        <v>79</v>
      </c>
      <c r="C19" s="12">
        <v>348</v>
      </c>
      <c r="D19" s="8">
        <v>3.53</v>
      </c>
      <c r="E19" s="12">
        <v>19</v>
      </c>
      <c r="F19" s="8">
        <v>0.61</v>
      </c>
      <c r="G19" s="12">
        <v>325</v>
      </c>
      <c r="H19" s="8">
        <v>4.8600000000000003</v>
      </c>
      <c r="I19" s="12">
        <v>4</v>
      </c>
    </row>
    <row r="20" spans="2:9" ht="15" customHeight="1" x14ac:dyDescent="0.2">
      <c r="B20" s="9" t="s">
        <v>280</v>
      </c>
      <c r="C20" s="12">
        <f>SUM(LTBL_13116[総数／事業所数])</f>
        <v>9846</v>
      </c>
      <c r="E20" s="12">
        <f>SUBTOTAL(109,LTBL_13116[個人／事業所数])</f>
        <v>3138</v>
      </c>
      <c r="G20" s="12">
        <f>SUBTOTAL(109,LTBL_13116[法人／事業所数])</f>
        <v>6688</v>
      </c>
      <c r="I20" s="12">
        <f>SUBTOTAL(109,LTBL_13116[法人以外の団体／事業所数])</f>
        <v>19</v>
      </c>
    </row>
    <row r="21" spans="2:9" ht="15" customHeight="1" x14ac:dyDescent="0.2">
      <c r="E21" s="11">
        <f>LTBL_13116[[#Totals],[個人／事業所数]]/LTBL_13116[[#Totals],[総数／事業所数]]</f>
        <v>0.31870810481413769</v>
      </c>
      <c r="G21" s="11">
        <f>LTBL_13116[[#Totals],[法人／事業所数]]/LTBL_13116[[#Totals],[総数／事業所数]]</f>
        <v>0.6792606134470851</v>
      </c>
      <c r="I21" s="11">
        <f>LTBL_13116[[#Totals],[法人以外の団体／事業所数]]/LTBL_13116[[#Totals],[総数／事業所数]]</f>
        <v>1.92971765183831E-3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1245</v>
      </c>
      <c r="D24" s="8">
        <v>12.64</v>
      </c>
      <c r="E24" s="12">
        <v>285</v>
      </c>
      <c r="F24" s="8">
        <v>9.08</v>
      </c>
      <c r="G24" s="12">
        <v>958</v>
      </c>
      <c r="H24" s="8">
        <v>14.32</v>
      </c>
      <c r="I24" s="12">
        <v>2</v>
      </c>
    </row>
    <row r="25" spans="2:9" ht="15" customHeight="1" x14ac:dyDescent="0.2">
      <c r="B25" t="s">
        <v>103</v>
      </c>
      <c r="C25" s="12">
        <v>1031</v>
      </c>
      <c r="D25" s="8">
        <v>10.47</v>
      </c>
      <c r="E25" s="12">
        <v>689</v>
      </c>
      <c r="F25" s="8">
        <v>21.96</v>
      </c>
      <c r="G25" s="12">
        <v>342</v>
      </c>
      <c r="H25" s="8">
        <v>5.1100000000000003</v>
      </c>
      <c r="I25" s="12">
        <v>0</v>
      </c>
    </row>
    <row r="26" spans="2:9" ht="15" customHeight="1" x14ac:dyDescent="0.2">
      <c r="B26" t="s">
        <v>101</v>
      </c>
      <c r="C26" s="12">
        <v>918</v>
      </c>
      <c r="D26" s="8">
        <v>9.32</v>
      </c>
      <c r="E26" s="12">
        <v>495</v>
      </c>
      <c r="F26" s="8">
        <v>15.77</v>
      </c>
      <c r="G26" s="12">
        <v>419</v>
      </c>
      <c r="H26" s="8">
        <v>6.26</v>
      </c>
      <c r="I26" s="12">
        <v>4</v>
      </c>
    </row>
    <row r="27" spans="2:9" ht="15" customHeight="1" x14ac:dyDescent="0.2">
      <c r="B27" t="s">
        <v>104</v>
      </c>
      <c r="C27" s="12">
        <v>614</v>
      </c>
      <c r="D27" s="8">
        <v>6.24</v>
      </c>
      <c r="E27" s="12">
        <v>421</v>
      </c>
      <c r="F27" s="8">
        <v>13.42</v>
      </c>
      <c r="G27" s="12">
        <v>193</v>
      </c>
      <c r="H27" s="8">
        <v>2.89</v>
      </c>
      <c r="I27" s="12">
        <v>0</v>
      </c>
    </row>
    <row r="28" spans="2:9" ht="15" customHeight="1" x14ac:dyDescent="0.2">
      <c r="B28" t="s">
        <v>98</v>
      </c>
      <c r="C28" s="12">
        <v>490</v>
      </c>
      <c r="D28" s="8">
        <v>4.9800000000000004</v>
      </c>
      <c r="E28" s="12">
        <v>174</v>
      </c>
      <c r="F28" s="8">
        <v>5.54</v>
      </c>
      <c r="G28" s="12">
        <v>316</v>
      </c>
      <c r="H28" s="8">
        <v>4.72</v>
      </c>
      <c r="I28" s="12">
        <v>0</v>
      </c>
    </row>
    <row r="29" spans="2:9" ht="15" customHeight="1" x14ac:dyDescent="0.2">
      <c r="B29" t="s">
        <v>106</v>
      </c>
      <c r="C29" s="12">
        <v>437</v>
      </c>
      <c r="D29" s="8">
        <v>4.4400000000000004</v>
      </c>
      <c r="E29" s="12">
        <v>346</v>
      </c>
      <c r="F29" s="8">
        <v>11.03</v>
      </c>
      <c r="G29" s="12">
        <v>91</v>
      </c>
      <c r="H29" s="8">
        <v>1.36</v>
      </c>
      <c r="I29" s="12">
        <v>0</v>
      </c>
    </row>
    <row r="30" spans="2:9" ht="15" customHeight="1" x14ac:dyDescent="0.2">
      <c r="B30" t="s">
        <v>95</v>
      </c>
      <c r="C30" s="12">
        <v>391</v>
      </c>
      <c r="D30" s="8">
        <v>3.97</v>
      </c>
      <c r="E30" s="12">
        <v>71</v>
      </c>
      <c r="F30" s="8">
        <v>2.2599999999999998</v>
      </c>
      <c r="G30" s="12">
        <v>320</v>
      </c>
      <c r="H30" s="8">
        <v>4.78</v>
      </c>
      <c r="I30" s="12">
        <v>0</v>
      </c>
    </row>
    <row r="31" spans="2:9" ht="15" customHeight="1" x14ac:dyDescent="0.2">
      <c r="B31" t="s">
        <v>99</v>
      </c>
      <c r="C31" s="12">
        <v>348</v>
      </c>
      <c r="D31" s="8">
        <v>3.53</v>
      </c>
      <c r="E31" s="12">
        <v>21</v>
      </c>
      <c r="F31" s="8">
        <v>0.67</v>
      </c>
      <c r="G31" s="12">
        <v>327</v>
      </c>
      <c r="H31" s="8">
        <v>4.8899999999999997</v>
      </c>
      <c r="I31" s="12">
        <v>0</v>
      </c>
    </row>
    <row r="32" spans="2:9" ht="15" customHeight="1" x14ac:dyDescent="0.2">
      <c r="B32" t="s">
        <v>96</v>
      </c>
      <c r="C32" s="12">
        <v>324</v>
      </c>
      <c r="D32" s="8">
        <v>3.29</v>
      </c>
      <c r="E32" s="12">
        <v>147</v>
      </c>
      <c r="F32" s="8">
        <v>4.68</v>
      </c>
      <c r="G32" s="12">
        <v>177</v>
      </c>
      <c r="H32" s="8">
        <v>2.65</v>
      </c>
      <c r="I32" s="12">
        <v>0</v>
      </c>
    </row>
    <row r="33" spans="2:9" ht="15" customHeight="1" x14ac:dyDescent="0.2">
      <c r="B33" t="s">
        <v>105</v>
      </c>
      <c r="C33" s="12">
        <v>294</v>
      </c>
      <c r="D33" s="8">
        <v>2.99</v>
      </c>
      <c r="E33" s="12">
        <v>132</v>
      </c>
      <c r="F33" s="8">
        <v>4.21</v>
      </c>
      <c r="G33" s="12">
        <v>161</v>
      </c>
      <c r="H33" s="8">
        <v>2.41</v>
      </c>
      <c r="I33" s="12">
        <v>1</v>
      </c>
    </row>
    <row r="34" spans="2:9" ht="15" customHeight="1" x14ac:dyDescent="0.2">
      <c r="B34" t="s">
        <v>102</v>
      </c>
      <c r="C34" s="12">
        <v>287</v>
      </c>
      <c r="D34" s="8">
        <v>2.91</v>
      </c>
      <c r="E34" s="12">
        <v>55</v>
      </c>
      <c r="F34" s="8">
        <v>1.75</v>
      </c>
      <c r="G34" s="12">
        <v>231</v>
      </c>
      <c r="H34" s="8">
        <v>3.45</v>
      </c>
      <c r="I34" s="12">
        <v>0</v>
      </c>
    </row>
    <row r="35" spans="2:9" ht="15" customHeight="1" x14ac:dyDescent="0.2">
      <c r="B35" t="s">
        <v>89</v>
      </c>
      <c r="C35" s="12">
        <v>259</v>
      </c>
      <c r="D35" s="8">
        <v>2.63</v>
      </c>
      <c r="E35" s="12">
        <v>30</v>
      </c>
      <c r="F35" s="8">
        <v>0.96</v>
      </c>
      <c r="G35" s="12">
        <v>229</v>
      </c>
      <c r="H35" s="8">
        <v>3.42</v>
      </c>
      <c r="I35" s="12">
        <v>0</v>
      </c>
    </row>
    <row r="36" spans="2:9" ht="15" customHeight="1" x14ac:dyDescent="0.2">
      <c r="B36" t="s">
        <v>107</v>
      </c>
      <c r="C36" s="12">
        <v>240</v>
      </c>
      <c r="D36" s="8">
        <v>2.44</v>
      </c>
      <c r="E36" s="12">
        <v>8</v>
      </c>
      <c r="F36" s="8">
        <v>0.25</v>
      </c>
      <c r="G36" s="12">
        <v>228</v>
      </c>
      <c r="H36" s="8">
        <v>3.41</v>
      </c>
      <c r="I36" s="12">
        <v>4</v>
      </c>
    </row>
    <row r="37" spans="2:9" ht="15" customHeight="1" x14ac:dyDescent="0.2">
      <c r="B37" t="s">
        <v>90</v>
      </c>
      <c r="C37" s="12">
        <v>221</v>
      </c>
      <c r="D37" s="8">
        <v>2.2400000000000002</v>
      </c>
      <c r="E37" s="12">
        <v>15</v>
      </c>
      <c r="F37" s="8">
        <v>0.48</v>
      </c>
      <c r="G37" s="12">
        <v>206</v>
      </c>
      <c r="H37" s="8">
        <v>3.08</v>
      </c>
      <c r="I37" s="12">
        <v>0</v>
      </c>
    </row>
    <row r="38" spans="2:9" ht="15" customHeight="1" x14ac:dyDescent="0.2">
      <c r="B38" t="s">
        <v>91</v>
      </c>
      <c r="C38" s="12">
        <v>213</v>
      </c>
      <c r="D38" s="8">
        <v>2.16</v>
      </c>
      <c r="E38" s="12">
        <v>2</v>
      </c>
      <c r="F38" s="8">
        <v>0.06</v>
      </c>
      <c r="G38" s="12">
        <v>211</v>
      </c>
      <c r="H38" s="8">
        <v>3.15</v>
      </c>
      <c r="I38" s="12">
        <v>0</v>
      </c>
    </row>
    <row r="39" spans="2:9" ht="15" customHeight="1" x14ac:dyDescent="0.2">
      <c r="B39" t="s">
        <v>94</v>
      </c>
      <c r="C39" s="12">
        <v>202</v>
      </c>
      <c r="D39" s="8">
        <v>2.0499999999999998</v>
      </c>
      <c r="E39" s="12">
        <v>7</v>
      </c>
      <c r="F39" s="8">
        <v>0.22</v>
      </c>
      <c r="G39" s="12">
        <v>195</v>
      </c>
      <c r="H39" s="8">
        <v>2.92</v>
      </c>
      <c r="I39" s="12">
        <v>0</v>
      </c>
    </row>
    <row r="40" spans="2:9" ht="15" customHeight="1" x14ac:dyDescent="0.2">
      <c r="B40" t="s">
        <v>88</v>
      </c>
      <c r="C40" s="12">
        <v>196</v>
      </c>
      <c r="D40" s="8">
        <v>1.99</v>
      </c>
      <c r="E40" s="12">
        <v>10</v>
      </c>
      <c r="F40" s="8">
        <v>0.32</v>
      </c>
      <c r="G40" s="12">
        <v>186</v>
      </c>
      <c r="H40" s="8">
        <v>2.78</v>
      </c>
      <c r="I40" s="12">
        <v>0</v>
      </c>
    </row>
    <row r="41" spans="2:9" ht="15" customHeight="1" x14ac:dyDescent="0.2">
      <c r="B41" t="s">
        <v>92</v>
      </c>
      <c r="C41" s="12">
        <v>155</v>
      </c>
      <c r="D41" s="8">
        <v>1.57</v>
      </c>
      <c r="E41" s="12">
        <v>10</v>
      </c>
      <c r="F41" s="8">
        <v>0.32</v>
      </c>
      <c r="G41" s="12">
        <v>144</v>
      </c>
      <c r="H41" s="8">
        <v>2.15</v>
      </c>
      <c r="I41" s="12">
        <v>1</v>
      </c>
    </row>
    <row r="42" spans="2:9" ht="15" customHeight="1" x14ac:dyDescent="0.2">
      <c r="B42" t="s">
        <v>108</v>
      </c>
      <c r="C42" s="12">
        <v>154</v>
      </c>
      <c r="D42" s="8">
        <v>1.56</v>
      </c>
      <c r="E42" s="12">
        <v>14</v>
      </c>
      <c r="F42" s="8">
        <v>0.45</v>
      </c>
      <c r="G42" s="12">
        <v>140</v>
      </c>
      <c r="H42" s="8">
        <v>2.09</v>
      </c>
      <c r="I42" s="12">
        <v>0</v>
      </c>
    </row>
    <row r="43" spans="2:9" ht="15" customHeight="1" x14ac:dyDescent="0.2">
      <c r="B43" t="s">
        <v>93</v>
      </c>
      <c r="C43" s="12">
        <v>144</v>
      </c>
      <c r="D43" s="8">
        <v>1.46</v>
      </c>
      <c r="E43" s="12">
        <v>3</v>
      </c>
      <c r="F43" s="8">
        <v>0.1</v>
      </c>
      <c r="G43" s="12">
        <v>141</v>
      </c>
      <c r="H43" s="8">
        <v>2.11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671</v>
      </c>
      <c r="D47" s="8">
        <v>6.81</v>
      </c>
      <c r="E47" s="12">
        <v>205</v>
      </c>
      <c r="F47" s="8">
        <v>6.53</v>
      </c>
      <c r="G47" s="12">
        <v>466</v>
      </c>
      <c r="H47" s="8">
        <v>6.97</v>
      </c>
      <c r="I47" s="12">
        <v>0</v>
      </c>
    </row>
    <row r="48" spans="2:9" ht="15" customHeight="1" x14ac:dyDescent="0.2">
      <c r="B48" t="s">
        <v>168</v>
      </c>
      <c r="C48" s="12">
        <v>336</v>
      </c>
      <c r="D48" s="8">
        <v>3.41</v>
      </c>
      <c r="E48" s="12">
        <v>195</v>
      </c>
      <c r="F48" s="8">
        <v>6.21</v>
      </c>
      <c r="G48" s="12">
        <v>141</v>
      </c>
      <c r="H48" s="8">
        <v>2.11</v>
      </c>
      <c r="I48" s="12">
        <v>0</v>
      </c>
    </row>
    <row r="49" spans="2:9" ht="15" customHeight="1" x14ac:dyDescent="0.2">
      <c r="B49" t="s">
        <v>161</v>
      </c>
      <c r="C49" s="12">
        <v>299</v>
      </c>
      <c r="D49" s="8">
        <v>3.04</v>
      </c>
      <c r="E49" s="12">
        <v>56</v>
      </c>
      <c r="F49" s="8">
        <v>1.78</v>
      </c>
      <c r="G49" s="12">
        <v>243</v>
      </c>
      <c r="H49" s="8">
        <v>3.63</v>
      </c>
      <c r="I49" s="12">
        <v>0</v>
      </c>
    </row>
    <row r="50" spans="2:9" ht="15" customHeight="1" x14ac:dyDescent="0.2">
      <c r="B50" t="s">
        <v>164</v>
      </c>
      <c r="C50" s="12">
        <v>293</v>
      </c>
      <c r="D50" s="8">
        <v>2.98</v>
      </c>
      <c r="E50" s="12">
        <v>278</v>
      </c>
      <c r="F50" s="8">
        <v>8.86</v>
      </c>
      <c r="G50" s="12">
        <v>15</v>
      </c>
      <c r="H50" s="8">
        <v>0.22</v>
      </c>
      <c r="I50" s="12">
        <v>0</v>
      </c>
    </row>
    <row r="51" spans="2:9" ht="15" customHeight="1" x14ac:dyDescent="0.2">
      <c r="B51" t="s">
        <v>175</v>
      </c>
      <c r="C51" s="12">
        <v>273</v>
      </c>
      <c r="D51" s="8">
        <v>2.77</v>
      </c>
      <c r="E51" s="12">
        <v>212</v>
      </c>
      <c r="F51" s="8">
        <v>6.76</v>
      </c>
      <c r="G51" s="12">
        <v>61</v>
      </c>
      <c r="H51" s="8">
        <v>0.91</v>
      </c>
      <c r="I51" s="12">
        <v>0</v>
      </c>
    </row>
    <row r="52" spans="2:9" ht="15" customHeight="1" x14ac:dyDescent="0.2">
      <c r="B52" t="s">
        <v>160</v>
      </c>
      <c r="C52" s="12">
        <v>271</v>
      </c>
      <c r="D52" s="8">
        <v>2.75</v>
      </c>
      <c r="E52" s="12">
        <v>21</v>
      </c>
      <c r="F52" s="8">
        <v>0.67</v>
      </c>
      <c r="G52" s="12">
        <v>250</v>
      </c>
      <c r="H52" s="8">
        <v>3.74</v>
      </c>
      <c r="I52" s="12">
        <v>0</v>
      </c>
    </row>
    <row r="53" spans="2:9" ht="15" customHeight="1" x14ac:dyDescent="0.2">
      <c r="B53" t="s">
        <v>172</v>
      </c>
      <c r="C53" s="12">
        <v>255</v>
      </c>
      <c r="D53" s="8">
        <v>2.59</v>
      </c>
      <c r="E53" s="12">
        <v>188</v>
      </c>
      <c r="F53" s="8">
        <v>5.99</v>
      </c>
      <c r="G53" s="12">
        <v>67</v>
      </c>
      <c r="H53" s="8">
        <v>1</v>
      </c>
      <c r="I53" s="12">
        <v>0</v>
      </c>
    </row>
    <row r="54" spans="2:9" ht="15" customHeight="1" x14ac:dyDescent="0.2">
      <c r="B54" t="s">
        <v>169</v>
      </c>
      <c r="C54" s="12">
        <v>234</v>
      </c>
      <c r="D54" s="8">
        <v>2.38</v>
      </c>
      <c r="E54" s="12">
        <v>172</v>
      </c>
      <c r="F54" s="8">
        <v>5.48</v>
      </c>
      <c r="G54" s="12">
        <v>62</v>
      </c>
      <c r="H54" s="8">
        <v>0.93</v>
      </c>
      <c r="I54" s="12">
        <v>0</v>
      </c>
    </row>
    <row r="55" spans="2:9" ht="15" customHeight="1" x14ac:dyDescent="0.2">
      <c r="B55" t="s">
        <v>163</v>
      </c>
      <c r="C55" s="12">
        <v>229</v>
      </c>
      <c r="D55" s="8">
        <v>2.33</v>
      </c>
      <c r="E55" s="12">
        <v>11</v>
      </c>
      <c r="F55" s="8">
        <v>0.35</v>
      </c>
      <c r="G55" s="12">
        <v>216</v>
      </c>
      <c r="H55" s="8">
        <v>3.23</v>
      </c>
      <c r="I55" s="12">
        <v>2</v>
      </c>
    </row>
    <row r="56" spans="2:9" ht="15" customHeight="1" x14ac:dyDescent="0.2">
      <c r="B56" t="s">
        <v>173</v>
      </c>
      <c r="C56" s="12">
        <v>205</v>
      </c>
      <c r="D56" s="8">
        <v>2.08</v>
      </c>
      <c r="E56" s="12">
        <v>106</v>
      </c>
      <c r="F56" s="8">
        <v>3.38</v>
      </c>
      <c r="G56" s="12">
        <v>98</v>
      </c>
      <c r="H56" s="8">
        <v>1.47</v>
      </c>
      <c r="I56" s="12">
        <v>1</v>
      </c>
    </row>
    <row r="57" spans="2:9" ht="15" customHeight="1" x14ac:dyDescent="0.2">
      <c r="B57" t="s">
        <v>167</v>
      </c>
      <c r="C57" s="12">
        <v>203</v>
      </c>
      <c r="D57" s="8">
        <v>2.06</v>
      </c>
      <c r="E57" s="12">
        <v>34</v>
      </c>
      <c r="F57" s="8">
        <v>1.08</v>
      </c>
      <c r="G57" s="12">
        <v>168</v>
      </c>
      <c r="H57" s="8">
        <v>2.5099999999999998</v>
      </c>
      <c r="I57" s="12">
        <v>0</v>
      </c>
    </row>
    <row r="58" spans="2:9" ht="15" customHeight="1" x14ac:dyDescent="0.2">
      <c r="B58" t="s">
        <v>159</v>
      </c>
      <c r="C58" s="12">
        <v>192</v>
      </c>
      <c r="D58" s="8">
        <v>1.95</v>
      </c>
      <c r="E58" s="12">
        <v>94</v>
      </c>
      <c r="F58" s="8">
        <v>3</v>
      </c>
      <c r="G58" s="12">
        <v>98</v>
      </c>
      <c r="H58" s="8">
        <v>1.47</v>
      </c>
      <c r="I58" s="12">
        <v>0</v>
      </c>
    </row>
    <row r="59" spans="2:9" ht="15" customHeight="1" x14ac:dyDescent="0.2">
      <c r="B59" t="s">
        <v>166</v>
      </c>
      <c r="C59" s="12">
        <v>189</v>
      </c>
      <c r="D59" s="8">
        <v>1.92</v>
      </c>
      <c r="E59" s="12">
        <v>9</v>
      </c>
      <c r="F59" s="8">
        <v>0.28999999999999998</v>
      </c>
      <c r="G59" s="12">
        <v>177</v>
      </c>
      <c r="H59" s="8">
        <v>2.65</v>
      </c>
      <c r="I59" s="12">
        <v>3</v>
      </c>
    </row>
    <row r="60" spans="2:9" ht="15" customHeight="1" x14ac:dyDescent="0.2">
      <c r="B60" t="s">
        <v>199</v>
      </c>
      <c r="C60" s="12">
        <v>180</v>
      </c>
      <c r="D60" s="8">
        <v>1.83</v>
      </c>
      <c r="E60" s="12">
        <v>28</v>
      </c>
      <c r="F60" s="8">
        <v>0.89</v>
      </c>
      <c r="G60" s="12">
        <v>152</v>
      </c>
      <c r="H60" s="8">
        <v>2.27</v>
      </c>
      <c r="I60" s="12">
        <v>0</v>
      </c>
    </row>
    <row r="61" spans="2:9" ht="15" customHeight="1" x14ac:dyDescent="0.2">
      <c r="B61" t="s">
        <v>157</v>
      </c>
      <c r="C61" s="12">
        <v>177</v>
      </c>
      <c r="D61" s="8">
        <v>1.8</v>
      </c>
      <c r="E61" s="12">
        <v>1</v>
      </c>
      <c r="F61" s="8">
        <v>0.03</v>
      </c>
      <c r="G61" s="12">
        <v>176</v>
      </c>
      <c r="H61" s="8">
        <v>2.63</v>
      </c>
      <c r="I61" s="12">
        <v>0</v>
      </c>
    </row>
    <row r="62" spans="2:9" ht="15" customHeight="1" x14ac:dyDescent="0.2">
      <c r="B62" t="s">
        <v>170</v>
      </c>
      <c r="C62" s="12">
        <v>177</v>
      </c>
      <c r="D62" s="8">
        <v>1.8</v>
      </c>
      <c r="E62" s="12">
        <v>144</v>
      </c>
      <c r="F62" s="8">
        <v>4.59</v>
      </c>
      <c r="G62" s="12">
        <v>33</v>
      </c>
      <c r="H62" s="8">
        <v>0.49</v>
      </c>
      <c r="I62" s="12">
        <v>0</v>
      </c>
    </row>
    <row r="63" spans="2:9" ht="15" customHeight="1" x14ac:dyDescent="0.2">
      <c r="B63" t="s">
        <v>165</v>
      </c>
      <c r="C63" s="12">
        <v>155</v>
      </c>
      <c r="D63" s="8">
        <v>1.57</v>
      </c>
      <c r="E63" s="12">
        <v>7</v>
      </c>
      <c r="F63" s="8">
        <v>0.22</v>
      </c>
      <c r="G63" s="12">
        <v>147</v>
      </c>
      <c r="H63" s="8">
        <v>2.2000000000000002</v>
      </c>
      <c r="I63" s="12">
        <v>1</v>
      </c>
    </row>
    <row r="64" spans="2:9" ht="15" customHeight="1" x14ac:dyDescent="0.2">
      <c r="B64" t="s">
        <v>176</v>
      </c>
      <c r="C64" s="12">
        <v>147</v>
      </c>
      <c r="D64" s="8">
        <v>1.49</v>
      </c>
      <c r="E64" s="12">
        <v>7</v>
      </c>
      <c r="F64" s="8">
        <v>0.22</v>
      </c>
      <c r="G64" s="12">
        <v>136</v>
      </c>
      <c r="H64" s="8">
        <v>2.0299999999999998</v>
      </c>
      <c r="I64" s="12">
        <v>4</v>
      </c>
    </row>
    <row r="65" spans="2:9" ht="15" customHeight="1" x14ac:dyDescent="0.2">
      <c r="B65" t="s">
        <v>171</v>
      </c>
      <c r="C65" s="12">
        <v>143</v>
      </c>
      <c r="D65" s="8">
        <v>1.45</v>
      </c>
      <c r="E65" s="12">
        <v>129</v>
      </c>
      <c r="F65" s="8">
        <v>4.1100000000000003</v>
      </c>
      <c r="G65" s="12">
        <v>14</v>
      </c>
      <c r="H65" s="8">
        <v>0.21</v>
      </c>
      <c r="I65" s="12">
        <v>0</v>
      </c>
    </row>
    <row r="66" spans="2:9" ht="15" customHeight="1" x14ac:dyDescent="0.2">
      <c r="B66" t="s">
        <v>174</v>
      </c>
      <c r="C66" s="12">
        <v>141</v>
      </c>
      <c r="D66" s="8">
        <v>1.43</v>
      </c>
      <c r="E66" s="12">
        <v>129</v>
      </c>
      <c r="F66" s="8">
        <v>4.1100000000000003</v>
      </c>
      <c r="G66" s="12">
        <v>12</v>
      </c>
      <c r="H66" s="8">
        <v>0.18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374-B9D3-4AB2-9EE1-C3E9FABC622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722</v>
      </c>
      <c r="D6" s="8">
        <v>10.130000000000001</v>
      </c>
      <c r="E6" s="12">
        <v>88</v>
      </c>
      <c r="F6" s="8">
        <v>2.9</v>
      </c>
      <c r="G6" s="12">
        <v>634</v>
      </c>
      <c r="H6" s="8">
        <v>15.54</v>
      </c>
      <c r="I6" s="12">
        <v>0</v>
      </c>
    </row>
    <row r="7" spans="2:9" ht="15" customHeight="1" x14ac:dyDescent="0.2">
      <c r="B7" t="s">
        <v>67</v>
      </c>
      <c r="C7" s="12">
        <v>657</v>
      </c>
      <c r="D7" s="8">
        <v>9.2200000000000006</v>
      </c>
      <c r="E7" s="12">
        <v>133</v>
      </c>
      <c r="F7" s="8">
        <v>4.3899999999999997</v>
      </c>
      <c r="G7" s="12">
        <v>524</v>
      </c>
      <c r="H7" s="8">
        <v>12.85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2">
      <c r="B9" t="s">
        <v>69</v>
      </c>
      <c r="C9" s="12">
        <v>136</v>
      </c>
      <c r="D9" s="8">
        <v>1.91</v>
      </c>
      <c r="E9" s="12">
        <v>6</v>
      </c>
      <c r="F9" s="8">
        <v>0.2</v>
      </c>
      <c r="G9" s="12">
        <v>130</v>
      </c>
      <c r="H9" s="8">
        <v>3.19</v>
      </c>
      <c r="I9" s="12">
        <v>0</v>
      </c>
    </row>
    <row r="10" spans="2:9" ht="15" customHeight="1" x14ac:dyDescent="0.2">
      <c r="B10" t="s">
        <v>70</v>
      </c>
      <c r="C10" s="12">
        <v>101</v>
      </c>
      <c r="D10" s="8">
        <v>1.42</v>
      </c>
      <c r="E10" s="12">
        <v>58</v>
      </c>
      <c r="F10" s="8">
        <v>1.91</v>
      </c>
      <c r="G10" s="12">
        <v>43</v>
      </c>
      <c r="H10" s="8">
        <v>1.05</v>
      </c>
      <c r="I10" s="12">
        <v>0</v>
      </c>
    </row>
    <row r="11" spans="2:9" ht="15" customHeight="1" x14ac:dyDescent="0.2">
      <c r="B11" t="s">
        <v>71</v>
      </c>
      <c r="C11" s="12">
        <v>1448</v>
      </c>
      <c r="D11" s="8">
        <v>20.329999999999998</v>
      </c>
      <c r="E11" s="12">
        <v>574</v>
      </c>
      <c r="F11" s="8">
        <v>18.93</v>
      </c>
      <c r="G11" s="12">
        <v>873</v>
      </c>
      <c r="H11" s="8">
        <v>21.4</v>
      </c>
      <c r="I11" s="12">
        <v>1</v>
      </c>
    </row>
    <row r="12" spans="2:9" ht="15" customHeight="1" x14ac:dyDescent="0.2">
      <c r="B12" t="s">
        <v>72</v>
      </c>
      <c r="C12" s="12">
        <v>45</v>
      </c>
      <c r="D12" s="8">
        <v>0.63</v>
      </c>
      <c r="E12" s="12">
        <v>3</v>
      </c>
      <c r="F12" s="8">
        <v>0.1</v>
      </c>
      <c r="G12" s="12">
        <v>42</v>
      </c>
      <c r="H12" s="8">
        <v>1.03</v>
      </c>
      <c r="I12" s="12">
        <v>0</v>
      </c>
    </row>
    <row r="13" spans="2:9" ht="15" customHeight="1" x14ac:dyDescent="0.2">
      <c r="B13" t="s">
        <v>73</v>
      </c>
      <c r="C13" s="12">
        <v>1221</v>
      </c>
      <c r="D13" s="8">
        <v>17.14</v>
      </c>
      <c r="E13" s="12">
        <v>485</v>
      </c>
      <c r="F13" s="8">
        <v>16</v>
      </c>
      <c r="G13" s="12">
        <v>735</v>
      </c>
      <c r="H13" s="8">
        <v>18.02</v>
      </c>
      <c r="I13" s="12">
        <v>1</v>
      </c>
    </row>
    <row r="14" spans="2:9" ht="15" customHeight="1" x14ac:dyDescent="0.2">
      <c r="B14" t="s">
        <v>74</v>
      </c>
      <c r="C14" s="12">
        <v>456</v>
      </c>
      <c r="D14" s="8">
        <v>6.4</v>
      </c>
      <c r="E14" s="12">
        <v>162</v>
      </c>
      <c r="F14" s="8">
        <v>5.34</v>
      </c>
      <c r="G14" s="12">
        <v>291</v>
      </c>
      <c r="H14" s="8">
        <v>7.13</v>
      </c>
      <c r="I14" s="12">
        <v>1</v>
      </c>
    </row>
    <row r="15" spans="2:9" ht="15" customHeight="1" x14ac:dyDescent="0.2">
      <c r="B15" t="s">
        <v>75</v>
      </c>
      <c r="C15" s="12">
        <v>886</v>
      </c>
      <c r="D15" s="8">
        <v>12.44</v>
      </c>
      <c r="E15" s="12">
        <v>656</v>
      </c>
      <c r="F15" s="8">
        <v>21.64</v>
      </c>
      <c r="G15" s="12">
        <v>229</v>
      </c>
      <c r="H15" s="8">
        <v>5.61</v>
      </c>
      <c r="I15" s="12">
        <v>1</v>
      </c>
    </row>
    <row r="16" spans="2:9" ht="15" customHeight="1" x14ac:dyDescent="0.2">
      <c r="B16" t="s">
        <v>76</v>
      </c>
      <c r="C16" s="12">
        <v>705</v>
      </c>
      <c r="D16" s="8">
        <v>9.9</v>
      </c>
      <c r="E16" s="12">
        <v>469</v>
      </c>
      <c r="F16" s="8">
        <v>15.47</v>
      </c>
      <c r="G16" s="12">
        <v>235</v>
      </c>
      <c r="H16" s="8">
        <v>5.76</v>
      </c>
      <c r="I16" s="12">
        <v>1</v>
      </c>
    </row>
    <row r="17" spans="2:9" ht="15" customHeight="1" x14ac:dyDescent="0.2">
      <c r="B17" t="s">
        <v>77</v>
      </c>
      <c r="C17" s="12">
        <v>175</v>
      </c>
      <c r="D17" s="8">
        <v>2.46</v>
      </c>
      <c r="E17" s="12">
        <v>110</v>
      </c>
      <c r="F17" s="8">
        <v>3.63</v>
      </c>
      <c r="G17" s="12">
        <v>64</v>
      </c>
      <c r="H17" s="8">
        <v>1.57</v>
      </c>
      <c r="I17" s="12">
        <v>1</v>
      </c>
    </row>
    <row r="18" spans="2:9" ht="15" customHeight="1" x14ac:dyDescent="0.2">
      <c r="B18" t="s">
        <v>78</v>
      </c>
      <c r="C18" s="12">
        <v>377</v>
      </c>
      <c r="D18" s="8">
        <v>5.29</v>
      </c>
      <c r="E18" s="12">
        <v>260</v>
      </c>
      <c r="F18" s="8">
        <v>8.58</v>
      </c>
      <c r="G18" s="12">
        <v>116</v>
      </c>
      <c r="H18" s="8">
        <v>2.84</v>
      </c>
      <c r="I18" s="12">
        <v>0</v>
      </c>
    </row>
    <row r="19" spans="2:9" ht="15" customHeight="1" x14ac:dyDescent="0.2">
      <c r="B19" t="s">
        <v>79</v>
      </c>
      <c r="C19" s="12">
        <v>194</v>
      </c>
      <c r="D19" s="8">
        <v>2.72</v>
      </c>
      <c r="E19" s="12">
        <v>28</v>
      </c>
      <c r="F19" s="8">
        <v>0.92</v>
      </c>
      <c r="G19" s="12">
        <v>162</v>
      </c>
      <c r="H19" s="8">
        <v>3.97</v>
      </c>
      <c r="I19" s="12">
        <v>2</v>
      </c>
    </row>
    <row r="20" spans="2:9" ht="15" customHeight="1" x14ac:dyDescent="0.2">
      <c r="B20" s="9" t="s">
        <v>280</v>
      </c>
      <c r="C20" s="12">
        <f>SUM(LTBL_13117[総数／事業所数])</f>
        <v>7124</v>
      </c>
      <c r="E20" s="12">
        <f>SUBTOTAL(109,LTBL_13117[個人／事業所数])</f>
        <v>3032</v>
      </c>
      <c r="G20" s="12">
        <f>SUBTOTAL(109,LTBL_13117[法人／事業所数])</f>
        <v>4079</v>
      </c>
      <c r="I20" s="12">
        <f>SUBTOTAL(109,LTBL_13117[法人以外の団体／事業所数])</f>
        <v>8</v>
      </c>
    </row>
    <row r="21" spans="2:9" ht="15" customHeight="1" x14ac:dyDescent="0.2">
      <c r="E21" s="11">
        <f>LTBL_13117[[#Totals],[個人／事業所数]]/LTBL_13117[[#Totals],[総数／事業所数]]</f>
        <v>0.42560359348680515</v>
      </c>
      <c r="G21" s="11">
        <f>LTBL_13117[[#Totals],[法人／事業所数]]/LTBL_13117[[#Totals],[総数／事業所数]]</f>
        <v>0.57257158899494665</v>
      </c>
      <c r="I21" s="11">
        <f>LTBL_13117[[#Totals],[法人以外の団体／事業所数]]/LTBL_13117[[#Totals],[総数／事業所数]]</f>
        <v>1.1229646266142617E-3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1056</v>
      </c>
      <c r="D24" s="8">
        <v>14.82</v>
      </c>
      <c r="E24" s="12">
        <v>464</v>
      </c>
      <c r="F24" s="8">
        <v>15.3</v>
      </c>
      <c r="G24" s="12">
        <v>591</v>
      </c>
      <c r="H24" s="8">
        <v>14.49</v>
      </c>
      <c r="I24" s="12">
        <v>1</v>
      </c>
    </row>
    <row r="25" spans="2:9" ht="15" customHeight="1" x14ac:dyDescent="0.2">
      <c r="B25" t="s">
        <v>103</v>
      </c>
      <c r="C25" s="12">
        <v>814</v>
      </c>
      <c r="D25" s="8">
        <v>11.43</v>
      </c>
      <c r="E25" s="12">
        <v>646</v>
      </c>
      <c r="F25" s="8">
        <v>21.31</v>
      </c>
      <c r="G25" s="12">
        <v>168</v>
      </c>
      <c r="H25" s="8">
        <v>4.12</v>
      </c>
      <c r="I25" s="12">
        <v>0</v>
      </c>
    </row>
    <row r="26" spans="2:9" ht="15" customHeight="1" x14ac:dyDescent="0.2">
      <c r="B26" t="s">
        <v>104</v>
      </c>
      <c r="C26" s="12">
        <v>582</v>
      </c>
      <c r="D26" s="8">
        <v>8.17</v>
      </c>
      <c r="E26" s="12">
        <v>429</v>
      </c>
      <c r="F26" s="8">
        <v>14.15</v>
      </c>
      <c r="G26" s="12">
        <v>153</v>
      </c>
      <c r="H26" s="8">
        <v>3.75</v>
      </c>
      <c r="I26" s="12">
        <v>0</v>
      </c>
    </row>
    <row r="27" spans="2:9" ht="15" customHeight="1" x14ac:dyDescent="0.2">
      <c r="B27" t="s">
        <v>98</v>
      </c>
      <c r="C27" s="12">
        <v>378</v>
      </c>
      <c r="D27" s="8">
        <v>5.31</v>
      </c>
      <c r="E27" s="12">
        <v>184</v>
      </c>
      <c r="F27" s="8">
        <v>6.07</v>
      </c>
      <c r="G27" s="12">
        <v>193</v>
      </c>
      <c r="H27" s="8">
        <v>4.7300000000000004</v>
      </c>
      <c r="I27" s="12">
        <v>1</v>
      </c>
    </row>
    <row r="28" spans="2:9" ht="15" customHeight="1" x14ac:dyDescent="0.2">
      <c r="B28" t="s">
        <v>96</v>
      </c>
      <c r="C28" s="12">
        <v>318</v>
      </c>
      <c r="D28" s="8">
        <v>4.46</v>
      </c>
      <c r="E28" s="12">
        <v>209</v>
      </c>
      <c r="F28" s="8">
        <v>6.89</v>
      </c>
      <c r="G28" s="12">
        <v>109</v>
      </c>
      <c r="H28" s="8">
        <v>2.67</v>
      </c>
      <c r="I28" s="12">
        <v>0</v>
      </c>
    </row>
    <row r="29" spans="2:9" ht="15" customHeight="1" x14ac:dyDescent="0.2">
      <c r="B29" t="s">
        <v>106</v>
      </c>
      <c r="C29" s="12">
        <v>313</v>
      </c>
      <c r="D29" s="8">
        <v>4.3899999999999997</v>
      </c>
      <c r="E29" s="12">
        <v>258</v>
      </c>
      <c r="F29" s="8">
        <v>8.51</v>
      </c>
      <c r="G29" s="12">
        <v>55</v>
      </c>
      <c r="H29" s="8">
        <v>1.35</v>
      </c>
      <c r="I29" s="12">
        <v>0</v>
      </c>
    </row>
    <row r="30" spans="2:9" ht="15" customHeight="1" x14ac:dyDescent="0.2">
      <c r="B30" t="s">
        <v>101</v>
      </c>
      <c r="C30" s="12">
        <v>277</v>
      </c>
      <c r="D30" s="8">
        <v>3.89</v>
      </c>
      <c r="E30" s="12">
        <v>129</v>
      </c>
      <c r="F30" s="8">
        <v>4.25</v>
      </c>
      <c r="G30" s="12">
        <v>148</v>
      </c>
      <c r="H30" s="8">
        <v>3.63</v>
      </c>
      <c r="I30" s="12">
        <v>0</v>
      </c>
    </row>
    <row r="31" spans="2:9" ht="15" customHeight="1" x14ac:dyDescent="0.2">
      <c r="B31" t="s">
        <v>89</v>
      </c>
      <c r="C31" s="12">
        <v>267</v>
      </c>
      <c r="D31" s="8">
        <v>3.75</v>
      </c>
      <c r="E31" s="12">
        <v>47</v>
      </c>
      <c r="F31" s="8">
        <v>1.55</v>
      </c>
      <c r="G31" s="12">
        <v>220</v>
      </c>
      <c r="H31" s="8">
        <v>5.39</v>
      </c>
      <c r="I31" s="12">
        <v>0</v>
      </c>
    </row>
    <row r="32" spans="2:9" ht="15" customHeight="1" x14ac:dyDescent="0.2">
      <c r="B32" t="s">
        <v>90</v>
      </c>
      <c r="C32" s="12">
        <v>241</v>
      </c>
      <c r="D32" s="8">
        <v>3.38</v>
      </c>
      <c r="E32" s="12">
        <v>23</v>
      </c>
      <c r="F32" s="8">
        <v>0.76</v>
      </c>
      <c r="G32" s="12">
        <v>218</v>
      </c>
      <c r="H32" s="8">
        <v>5.34</v>
      </c>
      <c r="I32" s="12">
        <v>0</v>
      </c>
    </row>
    <row r="33" spans="2:9" ht="15" customHeight="1" x14ac:dyDescent="0.2">
      <c r="B33" t="s">
        <v>88</v>
      </c>
      <c r="C33" s="12">
        <v>214</v>
      </c>
      <c r="D33" s="8">
        <v>3</v>
      </c>
      <c r="E33" s="12">
        <v>18</v>
      </c>
      <c r="F33" s="8">
        <v>0.59</v>
      </c>
      <c r="G33" s="12">
        <v>196</v>
      </c>
      <c r="H33" s="8">
        <v>4.8099999999999996</v>
      </c>
      <c r="I33" s="12">
        <v>0</v>
      </c>
    </row>
    <row r="34" spans="2:9" ht="15" customHeight="1" x14ac:dyDescent="0.2">
      <c r="B34" t="s">
        <v>105</v>
      </c>
      <c r="C34" s="12">
        <v>175</v>
      </c>
      <c r="D34" s="8">
        <v>2.46</v>
      </c>
      <c r="E34" s="12">
        <v>110</v>
      </c>
      <c r="F34" s="8">
        <v>3.63</v>
      </c>
      <c r="G34" s="12">
        <v>64</v>
      </c>
      <c r="H34" s="8">
        <v>1.57</v>
      </c>
      <c r="I34" s="12">
        <v>1</v>
      </c>
    </row>
    <row r="35" spans="2:9" ht="15" customHeight="1" x14ac:dyDescent="0.2">
      <c r="B35" t="s">
        <v>102</v>
      </c>
      <c r="C35" s="12">
        <v>154</v>
      </c>
      <c r="D35" s="8">
        <v>2.16</v>
      </c>
      <c r="E35" s="12">
        <v>32</v>
      </c>
      <c r="F35" s="8">
        <v>1.06</v>
      </c>
      <c r="G35" s="12">
        <v>120</v>
      </c>
      <c r="H35" s="8">
        <v>2.94</v>
      </c>
      <c r="I35" s="12">
        <v>0</v>
      </c>
    </row>
    <row r="36" spans="2:9" ht="15" customHeight="1" x14ac:dyDescent="0.2">
      <c r="B36" t="s">
        <v>95</v>
      </c>
      <c r="C36" s="12">
        <v>148</v>
      </c>
      <c r="D36" s="8">
        <v>2.08</v>
      </c>
      <c r="E36" s="12">
        <v>79</v>
      </c>
      <c r="F36" s="8">
        <v>2.61</v>
      </c>
      <c r="G36" s="12">
        <v>69</v>
      </c>
      <c r="H36" s="8">
        <v>1.69</v>
      </c>
      <c r="I36" s="12">
        <v>0</v>
      </c>
    </row>
    <row r="37" spans="2:9" ht="15" customHeight="1" x14ac:dyDescent="0.2">
      <c r="B37" t="s">
        <v>99</v>
      </c>
      <c r="C37" s="12">
        <v>147</v>
      </c>
      <c r="D37" s="8">
        <v>2.06</v>
      </c>
      <c r="E37" s="12">
        <v>20</v>
      </c>
      <c r="F37" s="8">
        <v>0.66</v>
      </c>
      <c r="G37" s="12">
        <v>127</v>
      </c>
      <c r="H37" s="8">
        <v>3.11</v>
      </c>
      <c r="I37" s="12">
        <v>0</v>
      </c>
    </row>
    <row r="38" spans="2:9" ht="15" customHeight="1" x14ac:dyDescent="0.2">
      <c r="B38" t="s">
        <v>94</v>
      </c>
      <c r="C38" s="12">
        <v>136</v>
      </c>
      <c r="D38" s="8">
        <v>1.91</v>
      </c>
      <c r="E38" s="12">
        <v>17</v>
      </c>
      <c r="F38" s="8">
        <v>0.56000000000000005</v>
      </c>
      <c r="G38" s="12">
        <v>119</v>
      </c>
      <c r="H38" s="8">
        <v>2.92</v>
      </c>
      <c r="I38" s="12">
        <v>0</v>
      </c>
    </row>
    <row r="39" spans="2:9" ht="15" customHeight="1" x14ac:dyDescent="0.2">
      <c r="B39" t="s">
        <v>108</v>
      </c>
      <c r="C39" s="12">
        <v>126</v>
      </c>
      <c r="D39" s="8">
        <v>1.77</v>
      </c>
      <c r="E39" s="12">
        <v>11</v>
      </c>
      <c r="F39" s="8">
        <v>0.36</v>
      </c>
      <c r="G39" s="12">
        <v>115</v>
      </c>
      <c r="H39" s="8">
        <v>2.82</v>
      </c>
      <c r="I39" s="12">
        <v>0</v>
      </c>
    </row>
    <row r="40" spans="2:9" ht="15" customHeight="1" x14ac:dyDescent="0.2">
      <c r="B40" t="s">
        <v>107</v>
      </c>
      <c r="C40" s="12">
        <v>111</v>
      </c>
      <c r="D40" s="8">
        <v>1.56</v>
      </c>
      <c r="E40" s="12">
        <v>6</v>
      </c>
      <c r="F40" s="8">
        <v>0.2</v>
      </c>
      <c r="G40" s="12">
        <v>105</v>
      </c>
      <c r="H40" s="8">
        <v>2.57</v>
      </c>
      <c r="I40" s="12">
        <v>0</v>
      </c>
    </row>
    <row r="41" spans="2:9" ht="15" customHeight="1" x14ac:dyDescent="0.2">
      <c r="B41" t="s">
        <v>110</v>
      </c>
      <c r="C41" s="12">
        <v>105</v>
      </c>
      <c r="D41" s="8">
        <v>1.47</v>
      </c>
      <c r="E41" s="12">
        <v>16</v>
      </c>
      <c r="F41" s="8">
        <v>0.53</v>
      </c>
      <c r="G41" s="12">
        <v>89</v>
      </c>
      <c r="H41" s="8">
        <v>2.1800000000000002</v>
      </c>
      <c r="I41" s="12">
        <v>0</v>
      </c>
    </row>
    <row r="42" spans="2:9" ht="15" customHeight="1" x14ac:dyDescent="0.2">
      <c r="B42" t="s">
        <v>97</v>
      </c>
      <c r="C42" s="12">
        <v>104</v>
      </c>
      <c r="D42" s="8">
        <v>1.46</v>
      </c>
      <c r="E42" s="12">
        <v>42</v>
      </c>
      <c r="F42" s="8">
        <v>1.39</v>
      </c>
      <c r="G42" s="12">
        <v>62</v>
      </c>
      <c r="H42" s="8">
        <v>1.52</v>
      </c>
      <c r="I42" s="12">
        <v>0</v>
      </c>
    </row>
    <row r="43" spans="2:9" ht="15" customHeight="1" x14ac:dyDescent="0.2">
      <c r="B43" t="s">
        <v>93</v>
      </c>
      <c r="C43" s="12">
        <v>100</v>
      </c>
      <c r="D43" s="8">
        <v>1.4</v>
      </c>
      <c r="E43" s="12">
        <v>8</v>
      </c>
      <c r="F43" s="8">
        <v>0.26</v>
      </c>
      <c r="G43" s="12">
        <v>92</v>
      </c>
      <c r="H43" s="8">
        <v>2.2599999999999998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680</v>
      </c>
      <c r="D47" s="8">
        <v>9.5500000000000007</v>
      </c>
      <c r="E47" s="12">
        <v>374</v>
      </c>
      <c r="F47" s="8">
        <v>12.34</v>
      </c>
      <c r="G47" s="12">
        <v>306</v>
      </c>
      <c r="H47" s="8">
        <v>7.5</v>
      </c>
      <c r="I47" s="12">
        <v>0</v>
      </c>
    </row>
    <row r="48" spans="2:9" ht="15" customHeight="1" x14ac:dyDescent="0.2">
      <c r="B48" t="s">
        <v>172</v>
      </c>
      <c r="C48" s="12">
        <v>256</v>
      </c>
      <c r="D48" s="8">
        <v>3.59</v>
      </c>
      <c r="E48" s="12">
        <v>199</v>
      </c>
      <c r="F48" s="8">
        <v>6.56</v>
      </c>
      <c r="G48" s="12">
        <v>57</v>
      </c>
      <c r="H48" s="8">
        <v>1.4</v>
      </c>
      <c r="I48" s="12">
        <v>0</v>
      </c>
    </row>
    <row r="49" spans="2:9" ht="15" customHeight="1" x14ac:dyDescent="0.2">
      <c r="B49" t="s">
        <v>168</v>
      </c>
      <c r="C49" s="12">
        <v>240</v>
      </c>
      <c r="D49" s="8">
        <v>3.37</v>
      </c>
      <c r="E49" s="12">
        <v>180</v>
      </c>
      <c r="F49" s="8">
        <v>5.94</v>
      </c>
      <c r="G49" s="12">
        <v>60</v>
      </c>
      <c r="H49" s="8">
        <v>1.47</v>
      </c>
      <c r="I49" s="12">
        <v>0</v>
      </c>
    </row>
    <row r="50" spans="2:9" ht="15" customHeight="1" x14ac:dyDescent="0.2">
      <c r="B50" t="s">
        <v>169</v>
      </c>
      <c r="C50" s="12">
        <v>236</v>
      </c>
      <c r="D50" s="8">
        <v>3.31</v>
      </c>
      <c r="E50" s="12">
        <v>196</v>
      </c>
      <c r="F50" s="8">
        <v>6.46</v>
      </c>
      <c r="G50" s="12">
        <v>40</v>
      </c>
      <c r="H50" s="8">
        <v>0.98</v>
      </c>
      <c r="I50" s="12">
        <v>0</v>
      </c>
    </row>
    <row r="51" spans="2:9" ht="15" customHeight="1" x14ac:dyDescent="0.2">
      <c r="B51" t="s">
        <v>175</v>
      </c>
      <c r="C51" s="12">
        <v>181</v>
      </c>
      <c r="D51" s="8">
        <v>2.54</v>
      </c>
      <c r="E51" s="12">
        <v>144</v>
      </c>
      <c r="F51" s="8">
        <v>4.75</v>
      </c>
      <c r="G51" s="12">
        <v>37</v>
      </c>
      <c r="H51" s="8">
        <v>0.91</v>
      </c>
      <c r="I51" s="12">
        <v>0</v>
      </c>
    </row>
    <row r="52" spans="2:9" ht="15" customHeight="1" x14ac:dyDescent="0.2">
      <c r="B52" t="s">
        <v>163</v>
      </c>
      <c r="C52" s="12">
        <v>178</v>
      </c>
      <c r="D52" s="8">
        <v>2.5</v>
      </c>
      <c r="E52" s="12">
        <v>8</v>
      </c>
      <c r="F52" s="8">
        <v>0.26</v>
      </c>
      <c r="G52" s="12">
        <v>169</v>
      </c>
      <c r="H52" s="8">
        <v>4.1399999999999997</v>
      </c>
      <c r="I52" s="12">
        <v>1</v>
      </c>
    </row>
    <row r="53" spans="2:9" ht="15" customHeight="1" x14ac:dyDescent="0.2">
      <c r="B53" t="s">
        <v>171</v>
      </c>
      <c r="C53" s="12">
        <v>156</v>
      </c>
      <c r="D53" s="8">
        <v>2.19</v>
      </c>
      <c r="E53" s="12">
        <v>140</v>
      </c>
      <c r="F53" s="8">
        <v>4.62</v>
      </c>
      <c r="G53" s="12">
        <v>16</v>
      </c>
      <c r="H53" s="8">
        <v>0.39</v>
      </c>
      <c r="I53" s="12">
        <v>0</v>
      </c>
    </row>
    <row r="54" spans="2:9" ht="15" customHeight="1" x14ac:dyDescent="0.2">
      <c r="B54" t="s">
        <v>158</v>
      </c>
      <c r="C54" s="12">
        <v>144</v>
      </c>
      <c r="D54" s="8">
        <v>2.02</v>
      </c>
      <c r="E54" s="12">
        <v>95</v>
      </c>
      <c r="F54" s="8">
        <v>3.13</v>
      </c>
      <c r="G54" s="12">
        <v>49</v>
      </c>
      <c r="H54" s="8">
        <v>1.2</v>
      </c>
      <c r="I54" s="12">
        <v>0</v>
      </c>
    </row>
    <row r="55" spans="2:9" ht="15" customHeight="1" x14ac:dyDescent="0.2">
      <c r="B55" t="s">
        <v>159</v>
      </c>
      <c r="C55" s="12">
        <v>124</v>
      </c>
      <c r="D55" s="8">
        <v>1.74</v>
      </c>
      <c r="E55" s="12">
        <v>77</v>
      </c>
      <c r="F55" s="8">
        <v>2.54</v>
      </c>
      <c r="G55" s="12">
        <v>47</v>
      </c>
      <c r="H55" s="8">
        <v>1.1499999999999999</v>
      </c>
      <c r="I55" s="12">
        <v>0</v>
      </c>
    </row>
    <row r="56" spans="2:9" ht="15" customHeight="1" x14ac:dyDescent="0.2">
      <c r="B56" t="s">
        <v>160</v>
      </c>
      <c r="C56" s="12">
        <v>122</v>
      </c>
      <c r="D56" s="8">
        <v>1.71</v>
      </c>
      <c r="E56" s="12">
        <v>17</v>
      </c>
      <c r="F56" s="8">
        <v>0.56000000000000005</v>
      </c>
      <c r="G56" s="12">
        <v>105</v>
      </c>
      <c r="H56" s="8">
        <v>2.57</v>
      </c>
      <c r="I56" s="12">
        <v>0</v>
      </c>
    </row>
    <row r="57" spans="2:9" ht="15" customHeight="1" x14ac:dyDescent="0.2">
      <c r="B57" t="s">
        <v>173</v>
      </c>
      <c r="C57" s="12">
        <v>122</v>
      </c>
      <c r="D57" s="8">
        <v>1.71</v>
      </c>
      <c r="E57" s="12">
        <v>84</v>
      </c>
      <c r="F57" s="8">
        <v>2.77</v>
      </c>
      <c r="G57" s="12">
        <v>37</v>
      </c>
      <c r="H57" s="8">
        <v>0.91</v>
      </c>
      <c r="I57" s="12">
        <v>1</v>
      </c>
    </row>
    <row r="58" spans="2:9" ht="15" customHeight="1" x14ac:dyDescent="0.2">
      <c r="B58" t="s">
        <v>170</v>
      </c>
      <c r="C58" s="12">
        <v>119</v>
      </c>
      <c r="D58" s="8">
        <v>1.67</v>
      </c>
      <c r="E58" s="12">
        <v>108</v>
      </c>
      <c r="F58" s="8">
        <v>3.56</v>
      </c>
      <c r="G58" s="12">
        <v>11</v>
      </c>
      <c r="H58" s="8">
        <v>0.27</v>
      </c>
      <c r="I58" s="12">
        <v>0</v>
      </c>
    </row>
    <row r="59" spans="2:9" ht="15" customHeight="1" x14ac:dyDescent="0.2">
      <c r="B59" t="s">
        <v>174</v>
      </c>
      <c r="C59" s="12">
        <v>118</v>
      </c>
      <c r="D59" s="8">
        <v>1.66</v>
      </c>
      <c r="E59" s="12">
        <v>110</v>
      </c>
      <c r="F59" s="8">
        <v>3.63</v>
      </c>
      <c r="G59" s="12">
        <v>8</v>
      </c>
      <c r="H59" s="8">
        <v>0.2</v>
      </c>
      <c r="I59" s="12">
        <v>0</v>
      </c>
    </row>
    <row r="60" spans="2:9" ht="15" customHeight="1" x14ac:dyDescent="0.2">
      <c r="B60" t="s">
        <v>161</v>
      </c>
      <c r="C60" s="12">
        <v>114</v>
      </c>
      <c r="D60" s="8">
        <v>1.6</v>
      </c>
      <c r="E60" s="12">
        <v>22</v>
      </c>
      <c r="F60" s="8">
        <v>0.73</v>
      </c>
      <c r="G60" s="12">
        <v>92</v>
      </c>
      <c r="H60" s="8">
        <v>2.2599999999999998</v>
      </c>
      <c r="I60" s="12">
        <v>0</v>
      </c>
    </row>
    <row r="61" spans="2:9" ht="15" customHeight="1" x14ac:dyDescent="0.2">
      <c r="B61" t="s">
        <v>197</v>
      </c>
      <c r="C61" s="12">
        <v>113</v>
      </c>
      <c r="D61" s="8">
        <v>1.59</v>
      </c>
      <c r="E61" s="12">
        <v>59</v>
      </c>
      <c r="F61" s="8">
        <v>1.95</v>
      </c>
      <c r="G61" s="12">
        <v>54</v>
      </c>
      <c r="H61" s="8">
        <v>1.32</v>
      </c>
      <c r="I61" s="12">
        <v>0</v>
      </c>
    </row>
    <row r="62" spans="2:9" ht="15" customHeight="1" x14ac:dyDescent="0.2">
      <c r="B62" t="s">
        <v>167</v>
      </c>
      <c r="C62" s="12">
        <v>110</v>
      </c>
      <c r="D62" s="8">
        <v>1.54</v>
      </c>
      <c r="E62" s="12">
        <v>13</v>
      </c>
      <c r="F62" s="8">
        <v>0.43</v>
      </c>
      <c r="G62" s="12">
        <v>95</v>
      </c>
      <c r="H62" s="8">
        <v>2.33</v>
      </c>
      <c r="I62" s="12">
        <v>0</v>
      </c>
    </row>
    <row r="63" spans="2:9" ht="15" customHeight="1" x14ac:dyDescent="0.2">
      <c r="B63" t="s">
        <v>192</v>
      </c>
      <c r="C63" s="12">
        <v>102</v>
      </c>
      <c r="D63" s="8">
        <v>1.43</v>
      </c>
      <c r="E63" s="12">
        <v>14</v>
      </c>
      <c r="F63" s="8">
        <v>0.46</v>
      </c>
      <c r="G63" s="12">
        <v>88</v>
      </c>
      <c r="H63" s="8">
        <v>2.16</v>
      </c>
      <c r="I63" s="12">
        <v>0</v>
      </c>
    </row>
    <row r="64" spans="2:9" ht="15" customHeight="1" x14ac:dyDescent="0.2">
      <c r="B64" t="s">
        <v>198</v>
      </c>
      <c r="C64" s="12">
        <v>91</v>
      </c>
      <c r="D64" s="8">
        <v>1.28</v>
      </c>
      <c r="E64" s="12">
        <v>28</v>
      </c>
      <c r="F64" s="8">
        <v>0.92</v>
      </c>
      <c r="G64" s="12">
        <v>62</v>
      </c>
      <c r="H64" s="8">
        <v>1.52</v>
      </c>
      <c r="I64" s="12">
        <v>1</v>
      </c>
    </row>
    <row r="65" spans="2:9" ht="15" customHeight="1" x14ac:dyDescent="0.2">
      <c r="B65" t="s">
        <v>201</v>
      </c>
      <c r="C65" s="12">
        <v>88</v>
      </c>
      <c r="D65" s="8">
        <v>1.24</v>
      </c>
      <c r="E65" s="12">
        <v>9</v>
      </c>
      <c r="F65" s="8">
        <v>0.3</v>
      </c>
      <c r="G65" s="12">
        <v>79</v>
      </c>
      <c r="H65" s="8">
        <v>1.94</v>
      </c>
      <c r="I65" s="12">
        <v>0</v>
      </c>
    </row>
    <row r="66" spans="2:9" ht="15" customHeight="1" x14ac:dyDescent="0.2">
      <c r="B66" t="s">
        <v>177</v>
      </c>
      <c r="C66" s="12">
        <v>84</v>
      </c>
      <c r="D66" s="8">
        <v>1.18</v>
      </c>
      <c r="E66" s="12">
        <v>8</v>
      </c>
      <c r="F66" s="8">
        <v>0.26</v>
      </c>
      <c r="G66" s="12">
        <v>76</v>
      </c>
      <c r="H66" s="8">
        <v>1.86</v>
      </c>
      <c r="I66" s="12">
        <v>0</v>
      </c>
    </row>
    <row r="67" spans="2:9" ht="15" customHeight="1" x14ac:dyDescent="0.2">
      <c r="B67" t="s">
        <v>204</v>
      </c>
      <c r="C67" s="12">
        <v>84</v>
      </c>
      <c r="D67" s="8">
        <v>1.18</v>
      </c>
      <c r="E67" s="12">
        <v>60</v>
      </c>
      <c r="F67" s="8">
        <v>1.98</v>
      </c>
      <c r="G67" s="12">
        <v>24</v>
      </c>
      <c r="H67" s="8">
        <v>0.59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B6BB-321A-4A52-A7D6-AEFCEE75FC6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495</v>
      </c>
      <c r="D6" s="8">
        <v>9.23</v>
      </c>
      <c r="E6" s="12">
        <v>74</v>
      </c>
      <c r="F6" s="8">
        <v>3.3</v>
      </c>
      <c r="G6" s="12">
        <v>421</v>
      </c>
      <c r="H6" s="8">
        <v>13.53</v>
      </c>
      <c r="I6" s="12">
        <v>0</v>
      </c>
    </row>
    <row r="7" spans="2:9" ht="15" customHeight="1" x14ac:dyDescent="0.2">
      <c r="B7" t="s">
        <v>67</v>
      </c>
      <c r="C7" s="12">
        <v>1099</v>
      </c>
      <c r="D7" s="8">
        <v>20.49</v>
      </c>
      <c r="E7" s="12">
        <v>326</v>
      </c>
      <c r="F7" s="8">
        <v>14.55</v>
      </c>
      <c r="G7" s="12">
        <v>773</v>
      </c>
      <c r="H7" s="8">
        <v>24.84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0.1</v>
      </c>
      <c r="I8" s="12">
        <v>0</v>
      </c>
    </row>
    <row r="9" spans="2:9" ht="15" customHeight="1" x14ac:dyDescent="0.2">
      <c r="B9" t="s">
        <v>69</v>
      </c>
      <c r="C9" s="12">
        <v>77</v>
      </c>
      <c r="D9" s="8">
        <v>1.44</v>
      </c>
      <c r="E9" s="12">
        <v>2</v>
      </c>
      <c r="F9" s="8">
        <v>0.09</v>
      </c>
      <c r="G9" s="12">
        <v>75</v>
      </c>
      <c r="H9" s="8">
        <v>2.41</v>
      </c>
      <c r="I9" s="12">
        <v>0</v>
      </c>
    </row>
    <row r="10" spans="2:9" ht="15" customHeight="1" x14ac:dyDescent="0.2">
      <c r="B10" t="s">
        <v>70</v>
      </c>
      <c r="C10" s="12">
        <v>66</v>
      </c>
      <c r="D10" s="8">
        <v>1.23</v>
      </c>
      <c r="E10" s="12">
        <v>31</v>
      </c>
      <c r="F10" s="8">
        <v>1.38</v>
      </c>
      <c r="G10" s="12">
        <v>35</v>
      </c>
      <c r="H10" s="8">
        <v>1.1200000000000001</v>
      </c>
      <c r="I10" s="12">
        <v>0</v>
      </c>
    </row>
    <row r="11" spans="2:9" ht="15" customHeight="1" x14ac:dyDescent="0.2">
      <c r="B11" t="s">
        <v>71</v>
      </c>
      <c r="C11" s="12">
        <v>1246</v>
      </c>
      <c r="D11" s="8">
        <v>23.23</v>
      </c>
      <c r="E11" s="12">
        <v>485</v>
      </c>
      <c r="F11" s="8">
        <v>21.65</v>
      </c>
      <c r="G11" s="12">
        <v>761</v>
      </c>
      <c r="H11" s="8">
        <v>24.45</v>
      </c>
      <c r="I11" s="12">
        <v>0</v>
      </c>
    </row>
    <row r="12" spans="2:9" ht="15" customHeight="1" x14ac:dyDescent="0.2">
      <c r="B12" t="s">
        <v>72</v>
      </c>
      <c r="C12" s="12">
        <v>14</v>
      </c>
      <c r="D12" s="8">
        <v>0.26</v>
      </c>
      <c r="E12" s="12">
        <v>3</v>
      </c>
      <c r="F12" s="8">
        <v>0.13</v>
      </c>
      <c r="G12" s="12">
        <v>11</v>
      </c>
      <c r="H12" s="8">
        <v>0.35</v>
      </c>
      <c r="I12" s="12">
        <v>0</v>
      </c>
    </row>
    <row r="13" spans="2:9" ht="15" customHeight="1" x14ac:dyDescent="0.2">
      <c r="B13" t="s">
        <v>73</v>
      </c>
      <c r="C13" s="12">
        <v>616</v>
      </c>
      <c r="D13" s="8">
        <v>11.49</v>
      </c>
      <c r="E13" s="12">
        <v>253</v>
      </c>
      <c r="F13" s="8">
        <v>11.29</v>
      </c>
      <c r="G13" s="12">
        <v>362</v>
      </c>
      <c r="H13" s="8">
        <v>11.63</v>
      </c>
      <c r="I13" s="12">
        <v>1</v>
      </c>
    </row>
    <row r="14" spans="2:9" ht="15" customHeight="1" x14ac:dyDescent="0.2">
      <c r="B14" t="s">
        <v>74</v>
      </c>
      <c r="C14" s="12">
        <v>250</v>
      </c>
      <c r="D14" s="8">
        <v>4.66</v>
      </c>
      <c r="E14" s="12">
        <v>110</v>
      </c>
      <c r="F14" s="8">
        <v>4.91</v>
      </c>
      <c r="G14" s="12">
        <v>138</v>
      </c>
      <c r="H14" s="8">
        <v>4.43</v>
      </c>
      <c r="I14" s="12">
        <v>0</v>
      </c>
    </row>
    <row r="15" spans="2:9" ht="15" customHeight="1" x14ac:dyDescent="0.2">
      <c r="B15" t="s">
        <v>75</v>
      </c>
      <c r="C15" s="12">
        <v>606</v>
      </c>
      <c r="D15" s="8">
        <v>11.3</v>
      </c>
      <c r="E15" s="12">
        <v>460</v>
      </c>
      <c r="F15" s="8">
        <v>20.54</v>
      </c>
      <c r="G15" s="12">
        <v>146</v>
      </c>
      <c r="H15" s="8">
        <v>4.6900000000000004</v>
      </c>
      <c r="I15" s="12">
        <v>0</v>
      </c>
    </row>
    <row r="16" spans="2:9" ht="15" customHeight="1" x14ac:dyDescent="0.2">
      <c r="B16" t="s">
        <v>76</v>
      </c>
      <c r="C16" s="12">
        <v>449</v>
      </c>
      <c r="D16" s="8">
        <v>8.3699999999999992</v>
      </c>
      <c r="E16" s="12">
        <v>300</v>
      </c>
      <c r="F16" s="8">
        <v>13.39</v>
      </c>
      <c r="G16" s="12">
        <v>148</v>
      </c>
      <c r="H16" s="8">
        <v>4.76</v>
      </c>
      <c r="I16" s="12">
        <v>0</v>
      </c>
    </row>
    <row r="17" spans="2:9" ht="15" customHeight="1" x14ac:dyDescent="0.2">
      <c r="B17" t="s">
        <v>77</v>
      </c>
      <c r="C17" s="12">
        <v>104</v>
      </c>
      <c r="D17" s="8">
        <v>1.94</v>
      </c>
      <c r="E17" s="12">
        <v>62</v>
      </c>
      <c r="F17" s="8">
        <v>2.77</v>
      </c>
      <c r="G17" s="12">
        <v>40</v>
      </c>
      <c r="H17" s="8">
        <v>1.29</v>
      </c>
      <c r="I17" s="12">
        <v>2</v>
      </c>
    </row>
    <row r="18" spans="2:9" ht="15" customHeight="1" x14ac:dyDescent="0.2">
      <c r="B18" t="s">
        <v>78</v>
      </c>
      <c r="C18" s="12">
        <v>213</v>
      </c>
      <c r="D18" s="8">
        <v>3.97</v>
      </c>
      <c r="E18" s="12">
        <v>114</v>
      </c>
      <c r="F18" s="8">
        <v>5.09</v>
      </c>
      <c r="G18" s="12">
        <v>99</v>
      </c>
      <c r="H18" s="8">
        <v>3.18</v>
      </c>
      <c r="I18" s="12">
        <v>0</v>
      </c>
    </row>
    <row r="19" spans="2:9" ht="15" customHeight="1" x14ac:dyDescent="0.2">
      <c r="B19" t="s">
        <v>79</v>
      </c>
      <c r="C19" s="12">
        <v>125</v>
      </c>
      <c r="D19" s="8">
        <v>2.33</v>
      </c>
      <c r="E19" s="12">
        <v>20</v>
      </c>
      <c r="F19" s="8">
        <v>0.89</v>
      </c>
      <c r="G19" s="12">
        <v>100</v>
      </c>
      <c r="H19" s="8">
        <v>3.21</v>
      </c>
      <c r="I19" s="12">
        <v>3</v>
      </c>
    </row>
    <row r="20" spans="2:9" ht="15" customHeight="1" x14ac:dyDescent="0.2">
      <c r="B20" s="9" t="s">
        <v>280</v>
      </c>
      <c r="C20" s="12">
        <f>SUM(LTBL_13118[総数／事業所数])</f>
        <v>5363</v>
      </c>
      <c r="E20" s="12">
        <f>SUBTOTAL(109,LTBL_13118[個人／事業所数])</f>
        <v>2240</v>
      </c>
      <c r="G20" s="12">
        <f>SUBTOTAL(109,LTBL_13118[法人／事業所数])</f>
        <v>3112</v>
      </c>
      <c r="I20" s="12">
        <f>SUBTOTAL(109,LTBL_13118[法人以外の団体／事業所数])</f>
        <v>6</v>
      </c>
    </row>
    <row r="21" spans="2:9" ht="15" customHeight="1" x14ac:dyDescent="0.2">
      <c r="E21" s="11">
        <f>LTBL_13118[[#Totals],[個人／事業所数]]/LTBL_13118[[#Totals],[総数／事業所数]]</f>
        <v>0.41767667350363602</v>
      </c>
      <c r="G21" s="11">
        <f>LTBL_13118[[#Totals],[法人／事業所数]]/LTBL_13118[[#Totals],[総数／事業所数]]</f>
        <v>0.58027223568898001</v>
      </c>
      <c r="I21" s="11">
        <f>LTBL_13118[[#Totals],[法人以外の団体／事業所数]]/LTBL_13118[[#Totals],[総数／事業所数]]</f>
        <v>1.1187768040275966E-3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552</v>
      </c>
      <c r="D24" s="8">
        <v>10.29</v>
      </c>
      <c r="E24" s="12">
        <v>450</v>
      </c>
      <c r="F24" s="8">
        <v>20.09</v>
      </c>
      <c r="G24" s="12">
        <v>102</v>
      </c>
      <c r="H24" s="8">
        <v>3.28</v>
      </c>
      <c r="I24" s="12">
        <v>0</v>
      </c>
    </row>
    <row r="25" spans="2:9" ht="15" customHeight="1" x14ac:dyDescent="0.2">
      <c r="B25" t="s">
        <v>100</v>
      </c>
      <c r="C25" s="12">
        <v>520</v>
      </c>
      <c r="D25" s="8">
        <v>9.6999999999999993</v>
      </c>
      <c r="E25" s="12">
        <v>240</v>
      </c>
      <c r="F25" s="8">
        <v>10.71</v>
      </c>
      <c r="G25" s="12">
        <v>279</v>
      </c>
      <c r="H25" s="8">
        <v>8.9700000000000006</v>
      </c>
      <c r="I25" s="12">
        <v>1</v>
      </c>
    </row>
    <row r="26" spans="2:9" ht="15" customHeight="1" x14ac:dyDescent="0.2">
      <c r="B26" t="s">
        <v>104</v>
      </c>
      <c r="C26" s="12">
        <v>359</v>
      </c>
      <c r="D26" s="8">
        <v>6.69</v>
      </c>
      <c r="E26" s="12">
        <v>271</v>
      </c>
      <c r="F26" s="8">
        <v>12.1</v>
      </c>
      <c r="G26" s="12">
        <v>88</v>
      </c>
      <c r="H26" s="8">
        <v>2.83</v>
      </c>
      <c r="I26" s="12">
        <v>0</v>
      </c>
    </row>
    <row r="27" spans="2:9" ht="15" customHeight="1" x14ac:dyDescent="0.2">
      <c r="B27" t="s">
        <v>98</v>
      </c>
      <c r="C27" s="12">
        <v>288</v>
      </c>
      <c r="D27" s="8">
        <v>5.37</v>
      </c>
      <c r="E27" s="12">
        <v>145</v>
      </c>
      <c r="F27" s="8">
        <v>6.47</v>
      </c>
      <c r="G27" s="12">
        <v>143</v>
      </c>
      <c r="H27" s="8">
        <v>4.5999999999999996</v>
      </c>
      <c r="I27" s="12">
        <v>0</v>
      </c>
    </row>
    <row r="28" spans="2:9" ht="15" customHeight="1" x14ac:dyDescent="0.2">
      <c r="B28" t="s">
        <v>96</v>
      </c>
      <c r="C28" s="12">
        <v>260</v>
      </c>
      <c r="D28" s="8">
        <v>4.8499999999999996</v>
      </c>
      <c r="E28" s="12">
        <v>169</v>
      </c>
      <c r="F28" s="8">
        <v>7.54</v>
      </c>
      <c r="G28" s="12">
        <v>91</v>
      </c>
      <c r="H28" s="8">
        <v>2.92</v>
      </c>
      <c r="I28" s="12">
        <v>0</v>
      </c>
    </row>
    <row r="29" spans="2:9" ht="15" customHeight="1" x14ac:dyDescent="0.2">
      <c r="B29" t="s">
        <v>89</v>
      </c>
      <c r="C29" s="12">
        <v>193</v>
      </c>
      <c r="D29" s="8">
        <v>3.6</v>
      </c>
      <c r="E29" s="12">
        <v>36</v>
      </c>
      <c r="F29" s="8">
        <v>1.61</v>
      </c>
      <c r="G29" s="12">
        <v>157</v>
      </c>
      <c r="H29" s="8">
        <v>5.04</v>
      </c>
      <c r="I29" s="12">
        <v>0</v>
      </c>
    </row>
    <row r="30" spans="2:9" ht="15" customHeight="1" x14ac:dyDescent="0.2">
      <c r="B30" t="s">
        <v>108</v>
      </c>
      <c r="C30" s="12">
        <v>189</v>
      </c>
      <c r="D30" s="8">
        <v>3.52</v>
      </c>
      <c r="E30" s="12">
        <v>36</v>
      </c>
      <c r="F30" s="8">
        <v>1.61</v>
      </c>
      <c r="G30" s="12">
        <v>153</v>
      </c>
      <c r="H30" s="8">
        <v>4.92</v>
      </c>
      <c r="I30" s="12">
        <v>0</v>
      </c>
    </row>
    <row r="31" spans="2:9" ht="15" customHeight="1" x14ac:dyDescent="0.2">
      <c r="B31" t="s">
        <v>119</v>
      </c>
      <c r="C31" s="12">
        <v>181</v>
      </c>
      <c r="D31" s="8">
        <v>3.37</v>
      </c>
      <c r="E31" s="12">
        <v>55</v>
      </c>
      <c r="F31" s="8">
        <v>2.46</v>
      </c>
      <c r="G31" s="12">
        <v>126</v>
      </c>
      <c r="H31" s="8">
        <v>4.05</v>
      </c>
      <c r="I31" s="12">
        <v>0</v>
      </c>
    </row>
    <row r="32" spans="2:9" ht="15" customHeight="1" x14ac:dyDescent="0.2">
      <c r="B32" t="s">
        <v>106</v>
      </c>
      <c r="C32" s="12">
        <v>158</v>
      </c>
      <c r="D32" s="8">
        <v>2.95</v>
      </c>
      <c r="E32" s="12">
        <v>112</v>
      </c>
      <c r="F32" s="8">
        <v>5</v>
      </c>
      <c r="G32" s="12">
        <v>46</v>
      </c>
      <c r="H32" s="8">
        <v>1.48</v>
      </c>
      <c r="I32" s="12">
        <v>0</v>
      </c>
    </row>
    <row r="33" spans="2:9" ht="15" customHeight="1" x14ac:dyDescent="0.2">
      <c r="B33" t="s">
        <v>88</v>
      </c>
      <c r="C33" s="12">
        <v>156</v>
      </c>
      <c r="D33" s="8">
        <v>2.91</v>
      </c>
      <c r="E33" s="12">
        <v>19</v>
      </c>
      <c r="F33" s="8">
        <v>0.85</v>
      </c>
      <c r="G33" s="12">
        <v>137</v>
      </c>
      <c r="H33" s="8">
        <v>4.4000000000000004</v>
      </c>
      <c r="I33" s="12">
        <v>0</v>
      </c>
    </row>
    <row r="34" spans="2:9" ht="15" customHeight="1" x14ac:dyDescent="0.2">
      <c r="B34" t="s">
        <v>101</v>
      </c>
      <c r="C34" s="12">
        <v>152</v>
      </c>
      <c r="D34" s="8">
        <v>2.83</v>
      </c>
      <c r="E34" s="12">
        <v>87</v>
      </c>
      <c r="F34" s="8">
        <v>3.88</v>
      </c>
      <c r="G34" s="12">
        <v>65</v>
      </c>
      <c r="H34" s="8">
        <v>2.09</v>
      </c>
      <c r="I34" s="12">
        <v>0</v>
      </c>
    </row>
    <row r="35" spans="2:9" ht="15" customHeight="1" x14ac:dyDescent="0.2">
      <c r="B35" t="s">
        <v>90</v>
      </c>
      <c r="C35" s="12">
        <v>146</v>
      </c>
      <c r="D35" s="8">
        <v>2.72</v>
      </c>
      <c r="E35" s="12">
        <v>19</v>
      </c>
      <c r="F35" s="8">
        <v>0.85</v>
      </c>
      <c r="G35" s="12">
        <v>127</v>
      </c>
      <c r="H35" s="8">
        <v>4.08</v>
      </c>
      <c r="I35" s="12">
        <v>0</v>
      </c>
    </row>
    <row r="36" spans="2:9" ht="15" customHeight="1" x14ac:dyDescent="0.2">
      <c r="B36" t="s">
        <v>95</v>
      </c>
      <c r="C36" s="12">
        <v>138</v>
      </c>
      <c r="D36" s="8">
        <v>2.57</v>
      </c>
      <c r="E36" s="12">
        <v>79</v>
      </c>
      <c r="F36" s="8">
        <v>3.53</v>
      </c>
      <c r="G36" s="12">
        <v>59</v>
      </c>
      <c r="H36" s="8">
        <v>1.9</v>
      </c>
      <c r="I36" s="12">
        <v>0</v>
      </c>
    </row>
    <row r="37" spans="2:9" ht="15" customHeight="1" x14ac:dyDescent="0.2">
      <c r="B37" t="s">
        <v>117</v>
      </c>
      <c r="C37" s="12">
        <v>123</v>
      </c>
      <c r="D37" s="8">
        <v>2.29</v>
      </c>
      <c r="E37" s="12">
        <v>46</v>
      </c>
      <c r="F37" s="8">
        <v>2.0499999999999998</v>
      </c>
      <c r="G37" s="12">
        <v>77</v>
      </c>
      <c r="H37" s="8">
        <v>2.4700000000000002</v>
      </c>
      <c r="I37" s="12">
        <v>0</v>
      </c>
    </row>
    <row r="38" spans="2:9" ht="15" customHeight="1" x14ac:dyDescent="0.2">
      <c r="B38" t="s">
        <v>110</v>
      </c>
      <c r="C38" s="12">
        <v>123</v>
      </c>
      <c r="D38" s="8">
        <v>2.29</v>
      </c>
      <c r="E38" s="12">
        <v>16</v>
      </c>
      <c r="F38" s="8">
        <v>0.71</v>
      </c>
      <c r="G38" s="12">
        <v>107</v>
      </c>
      <c r="H38" s="8">
        <v>3.44</v>
      </c>
      <c r="I38" s="12">
        <v>0</v>
      </c>
    </row>
    <row r="39" spans="2:9" ht="15" customHeight="1" x14ac:dyDescent="0.2">
      <c r="B39" t="s">
        <v>94</v>
      </c>
      <c r="C39" s="12">
        <v>117</v>
      </c>
      <c r="D39" s="8">
        <v>2.1800000000000002</v>
      </c>
      <c r="E39" s="12">
        <v>14</v>
      </c>
      <c r="F39" s="8">
        <v>0.63</v>
      </c>
      <c r="G39" s="12">
        <v>103</v>
      </c>
      <c r="H39" s="8">
        <v>3.31</v>
      </c>
      <c r="I39" s="12">
        <v>0</v>
      </c>
    </row>
    <row r="40" spans="2:9" ht="15" customHeight="1" x14ac:dyDescent="0.2">
      <c r="B40" t="s">
        <v>105</v>
      </c>
      <c r="C40" s="12">
        <v>104</v>
      </c>
      <c r="D40" s="8">
        <v>1.94</v>
      </c>
      <c r="E40" s="12">
        <v>62</v>
      </c>
      <c r="F40" s="8">
        <v>2.77</v>
      </c>
      <c r="G40" s="12">
        <v>40</v>
      </c>
      <c r="H40" s="8">
        <v>1.29</v>
      </c>
      <c r="I40" s="12">
        <v>2</v>
      </c>
    </row>
    <row r="41" spans="2:9" ht="15" customHeight="1" x14ac:dyDescent="0.2">
      <c r="B41" t="s">
        <v>102</v>
      </c>
      <c r="C41" s="12">
        <v>91</v>
      </c>
      <c r="D41" s="8">
        <v>1.7</v>
      </c>
      <c r="E41" s="12">
        <v>23</v>
      </c>
      <c r="F41" s="8">
        <v>1.03</v>
      </c>
      <c r="G41" s="12">
        <v>66</v>
      </c>
      <c r="H41" s="8">
        <v>2.12</v>
      </c>
      <c r="I41" s="12">
        <v>0</v>
      </c>
    </row>
    <row r="42" spans="2:9" ht="15" customHeight="1" x14ac:dyDescent="0.2">
      <c r="B42" t="s">
        <v>99</v>
      </c>
      <c r="C42" s="12">
        <v>83</v>
      </c>
      <c r="D42" s="8">
        <v>1.55</v>
      </c>
      <c r="E42" s="12">
        <v>13</v>
      </c>
      <c r="F42" s="8">
        <v>0.57999999999999996</v>
      </c>
      <c r="G42" s="12">
        <v>70</v>
      </c>
      <c r="H42" s="8">
        <v>2.25</v>
      </c>
      <c r="I42" s="12">
        <v>0</v>
      </c>
    </row>
    <row r="43" spans="2:9" ht="15" customHeight="1" x14ac:dyDescent="0.2">
      <c r="B43" t="s">
        <v>97</v>
      </c>
      <c r="C43" s="12">
        <v>77</v>
      </c>
      <c r="D43" s="8">
        <v>1.44</v>
      </c>
      <c r="E43" s="12">
        <v>30</v>
      </c>
      <c r="F43" s="8">
        <v>1.34</v>
      </c>
      <c r="G43" s="12">
        <v>47</v>
      </c>
      <c r="H43" s="8">
        <v>1.51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316</v>
      </c>
      <c r="D47" s="8">
        <v>5.89</v>
      </c>
      <c r="E47" s="12">
        <v>176</v>
      </c>
      <c r="F47" s="8">
        <v>7.86</v>
      </c>
      <c r="G47" s="12">
        <v>139</v>
      </c>
      <c r="H47" s="8">
        <v>4.47</v>
      </c>
      <c r="I47" s="12">
        <v>1</v>
      </c>
    </row>
    <row r="48" spans="2:9" ht="15" customHeight="1" x14ac:dyDescent="0.2">
      <c r="B48" t="s">
        <v>168</v>
      </c>
      <c r="C48" s="12">
        <v>158</v>
      </c>
      <c r="D48" s="8">
        <v>2.95</v>
      </c>
      <c r="E48" s="12">
        <v>126</v>
      </c>
      <c r="F48" s="8">
        <v>5.63</v>
      </c>
      <c r="G48" s="12">
        <v>32</v>
      </c>
      <c r="H48" s="8">
        <v>1.03</v>
      </c>
      <c r="I48" s="12">
        <v>0</v>
      </c>
    </row>
    <row r="49" spans="2:9" ht="15" customHeight="1" x14ac:dyDescent="0.2">
      <c r="B49" t="s">
        <v>172</v>
      </c>
      <c r="C49" s="12">
        <v>150</v>
      </c>
      <c r="D49" s="8">
        <v>2.8</v>
      </c>
      <c r="E49" s="12">
        <v>112</v>
      </c>
      <c r="F49" s="8">
        <v>5</v>
      </c>
      <c r="G49" s="12">
        <v>38</v>
      </c>
      <c r="H49" s="8">
        <v>1.22</v>
      </c>
      <c r="I49" s="12">
        <v>0</v>
      </c>
    </row>
    <row r="50" spans="2:9" ht="15" customHeight="1" x14ac:dyDescent="0.2">
      <c r="B50" t="s">
        <v>169</v>
      </c>
      <c r="C50" s="12">
        <v>148</v>
      </c>
      <c r="D50" s="8">
        <v>2.76</v>
      </c>
      <c r="E50" s="12">
        <v>122</v>
      </c>
      <c r="F50" s="8">
        <v>5.45</v>
      </c>
      <c r="G50" s="12">
        <v>26</v>
      </c>
      <c r="H50" s="8">
        <v>0.84</v>
      </c>
      <c r="I50" s="12">
        <v>0</v>
      </c>
    </row>
    <row r="51" spans="2:9" ht="15" customHeight="1" x14ac:dyDescent="0.2">
      <c r="B51" t="s">
        <v>178</v>
      </c>
      <c r="C51" s="12">
        <v>128</v>
      </c>
      <c r="D51" s="8">
        <v>2.39</v>
      </c>
      <c r="E51" s="12">
        <v>21</v>
      </c>
      <c r="F51" s="8">
        <v>0.94</v>
      </c>
      <c r="G51" s="12">
        <v>107</v>
      </c>
      <c r="H51" s="8">
        <v>3.44</v>
      </c>
      <c r="I51" s="12">
        <v>0</v>
      </c>
    </row>
    <row r="52" spans="2:9" ht="15" customHeight="1" x14ac:dyDescent="0.2">
      <c r="B52" t="s">
        <v>171</v>
      </c>
      <c r="C52" s="12">
        <v>110</v>
      </c>
      <c r="D52" s="8">
        <v>2.0499999999999998</v>
      </c>
      <c r="E52" s="12">
        <v>99</v>
      </c>
      <c r="F52" s="8">
        <v>4.42</v>
      </c>
      <c r="G52" s="12">
        <v>11</v>
      </c>
      <c r="H52" s="8">
        <v>0.35</v>
      </c>
      <c r="I52" s="12">
        <v>0</v>
      </c>
    </row>
    <row r="53" spans="2:9" ht="15" customHeight="1" x14ac:dyDescent="0.2">
      <c r="B53" t="s">
        <v>159</v>
      </c>
      <c r="C53" s="12">
        <v>107</v>
      </c>
      <c r="D53" s="8">
        <v>2</v>
      </c>
      <c r="E53" s="12">
        <v>75</v>
      </c>
      <c r="F53" s="8">
        <v>3.35</v>
      </c>
      <c r="G53" s="12">
        <v>32</v>
      </c>
      <c r="H53" s="8">
        <v>1.03</v>
      </c>
      <c r="I53" s="12">
        <v>0</v>
      </c>
    </row>
    <row r="54" spans="2:9" ht="15" customHeight="1" x14ac:dyDescent="0.2">
      <c r="B54" t="s">
        <v>158</v>
      </c>
      <c r="C54" s="12">
        <v>102</v>
      </c>
      <c r="D54" s="8">
        <v>1.9</v>
      </c>
      <c r="E54" s="12">
        <v>70</v>
      </c>
      <c r="F54" s="8">
        <v>3.13</v>
      </c>
      <c r="G54" s="12">
        <v>32</v>
      </c>
      <c r="H54" s="8">
        <v>1.03</v>
      </c>
      <c r="I54" s="12">
        <v>0</v>
      </c>
    </row>
    <row r="55" spans="2:9" ht="15" customHeight="1" x14ac:dyDescent="0.2">
      <c r="B55" t="s">
        <v>175</v>
      </c>
      <c r="C55" s="12">
        <v>99</v>
      </c>
      <c r="D55" s="8">
        <v>1.85</v>
      </c>
      <c r="E55" s="12">
        <v>68</v>
      </c>
      <c r="F55" s="8">
        <v>3.04</v>
      </c>
      <c r="G55" s="12">
        <v>31</v>
      </c>
      <c r="H55" s="8">
        <v>1</v>
      </c>
      <c r="I55" s="12">
        <v>0</v>
      </c>
    </row>
    <row r="56" spans="2:9" ht="15" customHeight="1" x14ac:dyDescent="0.2">
      <c r="B56" t="s">
        <v>204</v>
      </c>
      <c r="C56" s="12">
        <v>72</v>
      </c>
      <c r="D56" s="8">
        <v>1.34</v>
      </c>
      <c r="E56" s="12">
        <v>49</v>
      </c>
      <c r="F56" s="8">
        <v>2.19</v>
      </c>
      <c r="G56" s="12">
        <v>23</v>
      </c>
      <c r="H56" s="8">
        <v>0.74</v>
      </c>
      <c r="I56" s="12">
        <v>0</v>
      </c>
    </row>
    <row r="57" spans="2:9" ht="15" customHeight="1" x14ac:dyDescent="0.2">
      <c r="B57" t="s">
        <v>173</v>
      </c>
      <c r="C57" s="12">
        <v>72</v>
      </c>
      <c r="D57" s="8">
        <v>1.34</v>
      </c>
      <c r="E57" s="12">
        <v>50</v>
      </c>
      <c r="F57" s="8">
        <v>2.23</v>
      </c>
      <c r="G57" s="12">
        <v>21</v>
      </c>
      <c r="H57" s="8">
        <v>0.67</v>
      </c>
      <c r="I57" s="12">
        <v>1</v>
      </c>
    </row>
    <row r="58" spans="2:9" ht="15" customHeight="1" x14ac:dyDescent="0.2">
      <c r="B58" t="s">
        <v>163</v>
      </c>
      <c r="C58" s="12">
        <v>71</v>
      </c>
      <c r="D58" s="8">
        <v>1.32</v>
      </c>
      <c r="E58" s="12">
        <v>3</v>
      </c>
      <c r="F58" s="8">
        <v>0.13</v>
      </c>
      <c r="G58" s="12">
        <v>68</v>
      </c>
      <c r="H58" s="8">
        <v>2.19</v>
      </c>
      <c r="I58" s="12">
        <v>0</v>
      </c>
    </row>
    <row r="59" spans="2:9" ht="15" customHeight="1" x14ac:dyDescent="0.2">
      <c r="B59" t="s">
        <v>160</v>
      </c>
      <c r="C59" s="12">
        <v>70</v>
      </c>
      <c r="D59" s="8">
        <v>1.31</v>
      </c>
      <c r="E59" s="12">
        <v>12</v>
      </c>
      <c r="F59" s="8">
        <v>0.54</v>
      </c>
      <c r="G59" s="12">
        <v>58</v>
      </c>
      <c r="H59" s="8">
        <v>1.86</v>
      </c>
      <c r="I59" s="12">
        <v>0</v>
      </c>
    </row>
    <row r="60" spans="2:9" ht="15" customHeight="1" x14ac:dyDescent="0.2">
      <c r="B60" t="s">
        <v>177</v>
      </c>
      <c r="C60" s="12">
        <v>67</v>
      </c>
      <c r="D60" s="8">
        <v>1.25</v>
      </c>
      <c r="E60" s="12">
        <v>8</v>
      </c>
      <c r="F60" s="8">
        <v>0.36</v>
      </c>
      <c r="G60" s="12">
        <v>59</v>
      </c>
      <c r="H60" s="8">
        <v>1.9</v>
      </c>
      <c r="I60" s="12">
        <v>0</v>
      </c>
    </row>
    <row r="61" spans="2:9" ht="15" customHeight="1" x14ac:dyDescent="0.2">
      <c r="B61" t="s">
        <v>197</v>
      </c>
      <c r="C61" s="12">
        <v>66</v>
      </c>
      <c r="D61" s="8">
        <v>1.23</v>
      </c>
      <c r="E61" s="12">
        <v>40</v>
      </c>
      <c r="F61" s="8">
        <v>1.79</v>
      </c>
      <c r="G61" s="12">
        <v>26</v>
      </c>
      <c r="H61" s="8">
        <v>0.84</v>
      </c>
      <c r="I61" s="12">
        <v>0</v>
      </c>
    </row>
    <row r="62" spans="2:9" ht="15" customHeight="1" x14ac:dyDescent="0.2">
      <c r="B62" t="s">
        <v>192</v>
      </c>
      <c r="C62" s="12">
        <v>62</v>
      </c>
      <c r="D62" s="8">
        <v>1.1599999999999999</v>
      </c>
      <c r="E62" s="12">
        <v>14</v>
      </c>
      <c r="F62" s="8">
        <v>0.63</v>
      </c>
      <c r="G62" s="12">
        <v>48</v>
      </c>
      <c r="H62" s="8">
        <v>1.54</v>
      </c>
      <c r="I62" s="12">
        <v>0</v>
      </c>
    </row>
    <row r="63" spans="2:9" ht="15" customHeight="1" x14ac:dyDescent="0.2">
      <c r="B63" t="s">
        <v>195</v>
      </c>
      <c r="C63" s="12">
        <v>61</v>
      </c>
      <c r="D63" s="8">
        <v>1.1399999999999999</v>
      </c>
      <c r="E63" s="12">
        <v>7</v>
      </c>
      <c r="F63" s="8">
        <v>0.31</v>
      </c>
      <c r="G63" s="12">
        <v>54</v>
      </c>
      <c r="H63" s="8">
        <v>1.74</v>
      </c>
      <c r="I63" s="12">
        <v>0</v>
      </c>
    </row>
    <row r="64" spans="2:9" ht="15" customHeight="1" x14ac:dyDescent="0.2">
      <c r="B64" t="s">
        <v>161</v>
      </c>
      <c r="C64" s="12">
        <v>61</v>
      </c>
      <c r="D64" s="8">
        <v>1.1399999999999999</v>
      </c>
      <c r="E64" s="12">
        <v>12</v>
      </c>
      <c r="F64" s="8">
        <v>0.54</v>
      </c>
      <c r="G64" s="12">
        <v>49</v>
      </c>
      <c r="H64" s="8">
        <v>1.57</v>
      </c>
      <c r="I64" s="12">
        <v>0</v>
      </c>
    </row>
    <row r="65" spans="2:9" ht="15" customHeight="1" x14ac:dyDescent="0.2">
      <c r="B65" t="s">
        <v>205</v>
      </c>
      <c r="C65" s="12">
        <v>60</v>
      </c>
      <c r="D65" s="8">
        <v>1.1200000000000001</v>
      </c>
      <c r="E65" s="12">
        <v>37</v>
      </c>
      <c r="F65" s="8">
        <v>1.65</v>
      </c>
      <c r="G65" s="12">
        <v>23</v>
      </c>
      <c r="H65" s="8">
        <v>0.74</v>
      </c>
      <c r="I65" s="12">
        <v>0</v>
      </c>
    </row>
    <row r="66" spans="2:9" ht="15" customHeight="1" x14ac:dyDescent="0.2">
      <c r="B66" t="s">
        <v>198</v>
      </c>
      <c r="C66" s="12">
        <v>59</v>
      </c>
      <c r="D66" s="8">
        <v>1.1000000000000001</v>
      </c>
      <c r="E66" s="12">
        <v>10</v>
      </c>
      <c r="F66" s="8">
        <v>0.45</v>
      </c>
      <c r="G66" s="12">
        <v>49</v>
      </c>
      <c r="H66" s="8">
        <v>1.57</v>
      </c>
      <c r="I66" s="12">
        <v>0</v>
      </c>
    </row>
    <row r="67" spans="2:9" ht="15" customHeight="1" x14ac:dyDescent="0.2">
      <c r="B67" t="s">
        <v>167</v>
      </c>
      <c r="C67" s="12">
        <v>59</v>
      </c>
      <c r="D67" s="8">
        <v>1.1000000000000001</v>
      </c>
      <c r="E67" s="12">
        <v>11</v>
      </c>
      <c r="F67" s="8">
        <v>0.49</v>
      </c>
      <c r="G67" s="12">
        <v>46</v>
      </c>
      <c r="H67" s="8">
        <v>1.48</v>
      </c>
      <c r="I67" s="12">
        <v>0</v>
      </c>
    </row>
    <row r="68" spans="2:9" ht="15" customHeight="1" x14ac:dyDescent="0.2">
      <c r="B68" t="s">
        <v>191</v>
      </c>
      <c r="C68" s="12">
        <v>59</v>
      </c>
      <c r="D68" s="8">
        <v>1.1000000000000001</v>
      </c>
      <c r="E68" s="12">
        <v>54</v>
      </c>
      <c r="F68" s="8">
        <v>2.41</v>
      </c>
      <c r="G68" s="12">
        <v>5</v>
      </c>
      <c r="H68" s="8">
        <v>0.16</v>
      </c>
      <c r="I68" s="12">
        <v>0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3EC6-D4D9-436E-AE05-909CC05764B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1327</v>
      </c>
      <c r="D6" s="8">
        <v>12.74</v>
      </c>
      <c r="E6" s="12">
        <v>152</v>
      </c>
      <c r="F6" s="8">
        <v>3.76</v>
      </c>
      <c r="G6" s="12">
        <v>1175</v>
      </c>
      <c r="H6" s="8">
        <v>18.52</v>
      </c>
      <c r="I6" s="12">
        <v>0</v>
      </c>
    </row>
    <row r="7" spans="2:9" ht="15" customHeight="1" x14ac:dyDescent="0.2">
      <c r="B7" t="s">
        <v>67</v>
      </c>
      <c r="C7" s="12">
        <v>1195</v>
      </c>
      <c r="D7" s="8">
        <v>11.47</v>
      </c>
      <c r="E7" s="12">
        <v>239</v>
      </c>
      <c r="F7" s="8">
        <v>5.91</v>
      </c>
      <c r="G7" s="12">
        <v>956</v>
      </c>
      <c r="H7" s="8">
        <v>15.07</v>
      </c>
      <c r="I7" s="12">
        <v>0</v>
      </c>
    </row>
    <row r="8" spans="2:9" ht="15" customHeight="1" x14ac:dyDescent="0.2">
      <c r="B8" t="s">
        <v>68</v>
      </c>
      <c r="C8" s="12">
        <v>5</v>
      </c>
      <c r="D8" s="8">
        <v>0.05</v>
      </c>
      <c r="E8" s="12">
        <v>0</v>
      </c>
      <c r="F8" s="8">
        <v>0</v>
      </c>
      <c r="G8" s="12">
        <v>5</v>
      </c>
      <c r="H8" s="8">
        <v>0.08</v>
      </c>
      <c r="I8" s="12">
        <v>0</v>
      </c>
    </row>
    <row r="9" spans="2:9" ht="15" customHeight="1" x14ac:dyDescent="0.2">
      <c r="B9" t="s">
        <v>69</v>
      </c>
      <c r="C9" s="12">
        <v>245</v>
      </c>
      <c r="D9" s="8">
        <v>2.35</v>
      </c>
      <c r="E9" s="12">
        <v>8</v>
      </c>
      <c r="F9" s="8">
        <v>0.2</v>
      </c>
      <c r="G9" s="12">
        <v>237</v>
      </c>
      <c r="H9" s="8">
        <v>3.74</v>
      </c>
      <c r="I9" s="12">
        <v>0</v>
      </c>
    </row>
    <row r="10" spans="2:9" ht="15" customHeight="1" x14ac:dyDescent="0.2">
      <c r="B10" t="s">
        <v>70</v>
      </c>
      <c r="C10" s="12">
        <v>219</v>
      </c>
      <c r="D10" s="8">
        <v>2.1</v>
      </c>
      <c r="E10" s="12">
        <v>128</v>
      </c>
      <c r="F10" s="8">
        <v>3.16</v>
      </c>
      <c r="G10" s="12">
        <v>90</v>
      </c>
      <c r="H10" s="8">
        <v>1.42</v>
      </c>
      <c r="I10" s="12">
        <v>0</v>
      </c>
    </row>
    <row r="11" spans="2:9" ht="15" customHeight="1" x14ac:dyDescent="0.2">
      <c r="B11" t="s">
        <v>71</v>
      </c>
      <c r="C11" s="12">
        <v>1967</v>
      </c>
      <c r="D11" s="8">
        <v>18.88</v>
      </c>
      <c r="E11" s="12">
        <v>681</v>
      </c>
      <c r="F11" s="8">
        <v>16.84</v>
      </c>
      <c r="G11" s="12">
        <v>1286</v>
      </c>
      <c r="H11" s="8">
        <v>20.27</v>
      </c>
      <c r="I11" s="12">
        <v>0</v>
      </c>
    </row>
    <row r="12" spans="2:9" ht="15" customHeight="1" x14ac:dyDescent="0.2">
      <c r="B12" t="s">
        <v>72</v>
      </c>
      <c r="C12" s="12">
        <v>49</v>
      </c>
      <c r="D12" s="8">
        <v>0.47</v>
      </c>
      <c r="E12" s="12">
        <v>5</v>
      </c>
      <c r="F12" s="8">
        <v>0.12</v>
      </c>
      <c r="G12" s="12">
        <v>44</v>
      </c>
      <c r="H12" s="8">
        <v>0.69</v>
      </c>
      <c r="I12" s="12">
        <v>0</v>
      </c>
    </row>
    <row r="13" spans="2:9" ht="15" customHeight="1" x14ac:dyDescent="0.2">
      <c r="B13" t="s">
        <v>73</v>
      </c>
      <c r="C13" s="12">
        <v>1339</v>
      </c>
      <c r="D13" s="8">
        <v>12.86</v>
      </c>
      <c r="E13" s="12">
        <v>326</v>
      </c>
      <c r="F13" s="8">
        <v>8.06</v>
      </c>
      <c r="G13" s="12">
        <v>1010</v>
      </c>
      <c r="H13" s="8">
        <v>15.92</v>
      </c>
      <c r="I13" s="12">
        <v>2</v>
      </c>
    </row>
    <row r="14" spans="2:9" ht="15" customHeight="1" x14ac:dyDescent="0.2">
      <c r="B14" t="s">
        <v>74</v>
      </c>
      <c r="C14" s="12">
        <v>622</v>
      </c>
      <c r="D14" s="8">
        <v>5.97</v>
      </c>
      <c r="E14" s="12">
        <v>245</v>
      </c>
      <c r="F14" s="8">
        <v>6.06</v>
      </c>
      <c r="G14" s="12">
        <v>375</v>
      </c>
      <c r="H14" s="8">
        <v>5.91</v>
      </c>
      <c r="I14" s="12">
        <v>1</v>
      </c>
    </row>
    <row r="15" spans="2:9" ht="15" customHeight="1" x14ac:dyDescent="0.2">
      <c r="B15" t="s">
        <v>75</v>
      </c>
      <c r="C15" s="12">
        <v>1196</v>
      </c>
      <c r="D15" s="8">
        <v>11.48</v>
      </c>
      <c r="E15" s="12">
        <v>900</v>
      </c>
      <c r="F15" s="8">
        <v>22.25</v>
      </c>
      <c r="G15" s="12">
        <v>295</v>
      </c>
      <c r="H15" s="8">
        <v>4.6500000000000004</v>
      </c>
      <c r="I15" s="12">
        <v>0</v>
      </c>
    </row>
    <row r="16" spans="2:9" ht="15" customHeight="1" x14ac:dyDescent="0.2">
      <c r="B16" t="s">
        <v>76</v>
      </c>
      <c r="C16" s="12">
        <v>1050</v>
      </c>
      <c r="D16" s="8">
        <v>10.08</v>
      </c>
      <c r="E16" s="12">
        <v>708</v>
      </c>
      <c r="F16" s="8">
        <v>17.5</v>
      </c>
      <c r="G16" s="12">
        <v>342</v>
      </c>
      <c r="H16" s="8">
        <v>5.39</v>
      </c>
      <c r="I16" s="12">
        <v>0</v>
      </c>
    </row>
    <row r="17" spans="2:9" ht="15" customHeight="1" x14ac:dyDescent="0.2">
      <c r="B17" t="s">
        <v>77</v>
      </c>
      <c r="C17" s="12">
        <v>325</v>
      </c>
      <c r="D17" s="8">
        <v>3.12</v>
      </c>
      <c r="E17" s="12">
        <v>213</v>
      </c>
      <c r="F17" s="8">
        <v>5.27</v>
      </c>
      <c r="G17" s="12">
        <v>107</v>
      </c>
      <c r="H17" s="8">
        <v>1.69</v>
      </c>
      <c r="I17" s="12">
        <v>1</v>
      </c>
    </row>
    <row r="18" spans="2:9" ht="15" customHeight="1" x14ac:dyDescent="0.2">
      <c r="B18" t="s">
        <v>78</v>
      </c>
      <c r="C18" s="12">
        <v>543</v>
      </c>
      <c r="D18" s="8">
        <v>5.21</v>
      </c>
      <c r="E18" s="12">
        <v>389</v>
      </c>
      <c r="F18" s="8">
        <v>9.6199999999999992</v>
      </c>
      <c r="G18" s="12">
        <v>144</v>
      </c>
      <c r="H18" s="8">
        <v>2.27</v>
      </c>
      <c r="I18" s="12">
        <v>2</v>
      </c>
    </row>
    <row r="19" spans="2:9" ht="15" customHeight="1" x14ac:dyDescent="0.2">
      <c r="B19" t="s">
        <v>79</v>
      </c>
      <c r="C19" s="12">
        <v>334</v>
      </c>
      <c r="D19" s="8">
        <v>3.21</v>
      </c>
      <c r="E19" s="12">
        <v>51</v>
      </c>
      <c r="F19" s="8">
        <v>1.26</v>
      </c>
      <c r="G19" s="12">
        <v>279</v>
      </c>
      <c r="H19" s="8">
        <v>4.4000000000000004</v>
      </c>
      <c r="I19" s="12">
        <v>1</v>
      </c>
    </row>
    <row r="20" spans="2:9" ht="15" customHeight="1" x14ac:dyDescent="0.2">
      <c r="B20" s="9" t="s">
        <v>280</v>
      </c>
      <c r="C20" s="12">
        <f>SUM(LTBL_13119[総数／事業所数])</f>
        <v>10416</v>
      </c>
      <c r="E20" s="12">
        <f>SUBTOTAL(109,LTBL_13119[個人／事業所数])</f>
        <v>4045</v>
      </c>
      <c r="G20" s="12">
        <f>SUBTOTAL(109,LTBL_13119[法人／事業所数])</f>
        <v>6345</v>
      </c>
      <c r="I20" s="12">
        <f>SUBTOTAL(109,LTBL_13119[法人以外の団体／事業所数])</f>
        <v>7</v>
      </c>
    </row>
    <row r="21" spans="2:9" ht="15" customHeight="1" x14ac:dyDescent="0.2">
      <c r="E21" s="11">
        <f>LTBL_13119[[#Totals],[個人／事業所数]]/LTBL_13119[[#Totals],[総数／事業所数]]</f>
        <v>0.38834485407066049</v>
      </c>
      <c r="G21" s="11">
        <f>LTBL_13119[[#Totals],[法人／事業所数]]/LTBL_13119[[#Totals],[総数／事業所数]]</f>
        <v>0.60915898617511521</v>
      </c>
      <c r="I21" s="11">
        <f>LTBL_13119[[#Totals],[法人以外の団体／事業所数]]/LTBL_13119[[#Totals],[総数／事業所数]]</f>
        <v>6.7204301075268823E-4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1111</v>
      </c>
      <c r="D24" s="8">
        <v>10.67</v>
      </c>
      <c r="E24" s="12">
        <v>889</v>
      </c>
      <c r="F24" s="8">
        <v>21.98</v>
      </c>
      <c r="G24" s="12">
        <v>222</v>
      </c>
      <c r="H24" s="8">
        <v>3.5</v>
      </c>
      <c r="I24" s="12">
        <v>0</v>
      </c>
    </row>
    <row r="25" spans="2:9" ht="15" customHeight="1" x14ac:dyDescent="0.2">
      <c r="B25" t="s">
        <v>100</v>
      </c>
      <c r="C25" s="12">
        <v>1090</v>
      </c>
      <c r="D25" s="8">
        <v>10.46</v>
      </c>
      <c r="E25" s="12">
        <v>307</v>
      </c>
      <c r="F25" s="8">
        <v>7.59</v>
      </c>
      <c r="G25" s="12">
        <v>780</v>
      </c>
      <c r="H25" s="8">
        <v>12.29</v>
      </c>
      <c r="I25" s="12">
        <v>2</v>
      </c>
    </row>
    <row r="26" spans="2:9" ht="15" customHeight="1" x14ac:dyDescent="0.2">
      <c r="B26" t="s">
        <v>104</v>
      </c>
      <c r="C26" s="12">
        <v>856</v>
      </c>
      <c r="D26" s="8">
        <v>8.2200000000000006</v>
      </c>
      <c r="E26" s="12">
        <v>635</v>
      </c>
      <c r="F26" s="8">
        <v>15.7</v>
      </c>
      <c r="G26" s="12">
        <v>221</v>
      </c>
      <c r="H26" s="8">
        <v>3.48</v>
      </c>
      <c r="I26" s="12">
        <v>0</v>
      </c>
    </row>
    <row r="27" spans="2:9" ht="15" customHeight="1" x14ac:dyDescent="0.2">
      <c r="B27" t="s">
        <v>89</v>
      </c>
      <c r="C27" s="12">
        <v>514</v>
      </c>
      <c r="D27" s="8">
        <v>4.93</v>
      </c>
      <c r="E27" s="12">
        <v>82</v>
      </c>
      <c r="F27" s="8">
        <v>2.0299999999999998</v>
      </c>
      <c r="G27" s="12">
        <v>432</v>
      </c>
      <c r="H27" s="8">
        <v>6.81</v>
      </c>
      <c r="I27" s="12">
        <v>0</v>
      </c>
    </row>
    <row r="28" spans="2:9" ht="15" customHeight="1" x14ac:dyDescent="0.2">
      <c r="B28" t="s">
        <v>98</v>
      </c>
      <c r="C28" s="12">
        <v>512</v>
      </c>
      <c r="D28" s="8">
        <v>4.92</v>
      </c>
      <c r="E28" s="12">
        <v>237</v>
      </c>
      <c r="F28" s="8">
        <v>5.86</v>
      </c>
      <c r="G28" s="12">
        <v>275</v>
      </c>
      <c r="H28" s="8">
        <v>4.33</v>
      </c>
      <c r="I28" s="12">
        <v>0</v>
      </c>
    </row>
    <row r="29" spans="2:9" ht="15" customHeight="1" x14ac:dyDescent="0.2">
      <c r="B29" t="s">
        <v>106</v>
      </c>
      <c r="C29" s="12">
        <v>461</v>
      </c>
      <c r="D29" s="8">
        <v>4.43</v>
      </c>
      <c r="E29" s="12">
        <v>387</v>
      </c>
      <c r="F29" s="8">
        <v>9.57</v>
      </c>
      <c r="G29" s="12">
        <v>74</v>
      </c>
      <c r="H29" s="8">
        <v>1.17</v>
      </c>
      <c r="I29" s="12">
        <v>0</v>
      </c>
    </row>
    <row r="30" spans="2:9" ht="15" customHeight="1" x14ac:dyDescent="0.2">
      <c r="B30" t="s">
        <v>90</v>
      </c>
      <c r="C30" s="12">
        <v>417</v>
      </c>
      <c r="D30" s="8">
        <v>4</v>
      </c>
      <c r="E30" s="12">
        <v>31</v>
      </c>
      <c r="F30" s="8">
        <v>0.77</v>
      </c>
      <c r="G30" s="12">
        <v>386</v>
      </c>
      <c r="H30" s="8">
        <v>6.08</v>
      </c>
      <c r="I30" s="12">
        <v>0</v>
      </c>
    </row>
    <row r="31" spans="2:9" ht="15" customHeight="1" x14ac:dyDescent="0.2">
      <c r="B31" t="s">
        <v>88</v>
      </c>
      <c r="C31" s="12">
        <v>396</v>
      </c>
      <c r="D31" s="8">
        <v>3.8</v>
      </c>
      <c r="E31" s="12">
        <v>39</v>
      </c>
      <c r="F31" s="8">
        <v>0.96</v>
      </c>
      <c r="G31" s="12">
        <v>357</v>
      </c>
      <c r="H31" s="8">
        <v>5.63</v>
      </c>
      <c r="I31" s="12">
        <v>0</v>
      </c>
    </row>
    <row r="32" spans="2:9" ht="15" customHeight="1" x14ac:dyDescent="0.2">
      <c r="B32" t="s">
        <v>101</v>
      </c>
      <c r="C32" s="12">
        <v>378</v>
      </c>
      <c r="D32" s="8">
        <v>3.63</v>
      </c>
      <c r="E32" s="12">
        <v>184</v>
      </c>
      <c r="F32" s="8">
        <v>4.55</v>
      </c>
      <c r="G32" s="12">
        <v>193</v>
      </c>
      <c r="H32" s="8">
        <v>3.04</v>
      </c>
      <c r="I32" s="12">
        <v>1</v>
      </c>
    </row>
    <row r="33" spans="2:9" ht="15" customHeight="1" x14ac:dyDescent="0.2">
      <c r="B33" t="s">
        <v>96</v>
      </c>
      <c r="C33" s="12">
        <v>367</v>
      </c>
      <c r="D33" s="8">
        <v>3.52</v>
      </c>
      <c r="E33" s="12">
        <v>220</v>
      </c>
      <c r="F33" s="8">
        <v>5.44</v>
      </c>
      <c r="G33" s="12">
        <v>147</v>
      </c>
      <c r="H33" s="8">
        <v>2.3199999999999998</v>
      </c>
      <c r="I33" s="12">
        <v>0</v>
      </c>
    </row>
    <row r="34" spans="2:9" ht="15" customHeight="1" x14ac:dyDescent="0.2">
      <c r="B34" t="s">
        <v>105</v>
      </c>
      <c r="C34" s="12">
        <v>325</v>
      </c>
      <c r="D34" s="8">
        <v>3.12</v>
      </c>
      <c r="E34" s="12">
        <v>213</v>
      </c>
      <c r="F34" s="8">
        <v>5.27</v>
      </c>
      <c r="G34" s="12">
        <v>107</v>
      </c>
      <c r="H34" s="8">
        <v>1.69</v>
      </c>
      <c r="I34" s="12">
        <v>1</v>
      </c>
    </row>
    <row r="35" spans="2:9" ht="15" customHeight="1" x14ac:dyDescent="0.2">
      <c r="B35" t="s">
        <v>108</v>
      </c>
      <c r="C35" s="12">
        <v>270</v>
      </c>
      <c r="D35" s="8">
        <v>2.59</v>
      </c>
      <c r="E35" s="12">
        <v>38</v>
      </c>
      <c r="F35" s="8">
        <v>0.94</v>
      </c>
      <c r="G35" s="12">
        <v>232</v>
      </c>
      <c r="H35" s="8">
        <v>3.66</v>
      </c>
      <c r="I35" s="12">
        <v>0</v>
      </c>
    </row>
    <row r="36" spans="2:9" ht="15" customHeight="1" x14ac:dyDescent="0.2">
      <c r="B36" t="s">
        <v>99</v>
      </c>
      <c r="C36" s="12">
        <v>229</v>
      </c>
      <c r="D36" s="8">
        <v>2.2000000000000002</v>
      </c>
      <c r="E36" s="12">
        <v>19</v>
      </c>
      <c r="F36" s="8">
        <v>0.47</v>
      </c>
      <c r="G36" s="12">
        <v>210</v>
      </c>
      <c r="H36" s="8">
        <v>3.31</v>
      </c>
      <c r="I36" s="12">
        <v>0</v>
      </c>
    </row>
    <row r="37" spans="2:9" ht="15" customHeight="1" x14ac:dyDescent="0.2">
      <c r="B37" t="s">
        <v>102</v>
      </c>
      <c r="C37" s="12">
        <v>218</v>
      </c>
      <c r="D37" s="8">
        <v>2.09</v>
      </c>
      <c r="E37" s="12">
        <v>59</v>
      </c>
      <c r="F37" s="8">
        <v>1.46</v>
      </c>
      <c r="G37" s="12">
        <v>158</v>
      </c>
      <c r="H37" s="8">
        <v>2.4900000000000002</v>
      </c>
      <c r="I37" s="12">
        <v>0</v>
      </c>
    </row>
    <row r="38" spans="2:9" ht="15" customHeight="1" x14ac:dyDescent="0.2">
      <c r="B38" t="s">
        <v>97</v>
      </c>
      <c r="C38" s="12">
        <v>196</v>
      </c>
      <c r="D38" s="8">
        <v>1.88</v>
      </c>
      <c r="E38" s="12">
        <v>81</v>
      </c>
      <c r="F38" s="8">
        <v>2</v>
      </c>
      <c r="G38" s="12">
        <v>115</v>
      </c>
      <c r="H38" s="8">
        <v>1.81</v>
      </c>
      <c r="I38" s="12">
        <v>0</v>
      </c>
    </row>
    <row r="39" spans="2:9" ht="15" customHeight="1" x14ac:dyDescent="0.2">
      <c r="B39" t="s">
        <v>107</v>
      </c>
      <c r="C39" s="12">
        <v>191</v>
      </c>
      <c r="D39" s="8">
        <v>1.83</v>
      </c>
      <c r="E39" s="12">
        <v>7</v>
      </c>
      <c r="F39" s="8">
        <v>0.17</v>
      </c>
      <c r="G39" s="12">
        <v>183</v>
      </c>
      <c r="H39" s="8">
        <v>2.88</v>
      </c>
      <c r="I39" s="12">
        <v>1</v>
      </c>
    </row>
    <row r="40" spans="2:9" ht="15" customHeight="1" x14ac:dyDescent="0.2">
      <c r="B40" t="s">
        <v>94</v>
      </c>
      <c r="C40" s="12">
        <v>165</v>
      </c>
      <c r="D40" s="8">
        <v>1.58</v>
      </c>
      <c r="E40" s="12">
        <v>9</v>
      </c>
      <c r="F40" s="8">
        <v>0.22</v>
      </c>
      <c r="G40" s="12">
        <v>156</v>
      </c>
      <c r="H40" s="8">
        <v>2.46</v>
      </c>
      <c r="I40" s="12">
        <v>0</v>
      </c>
    </row>
    <row r="41" spans="2:9" ht="15" customHeight="1" x14ac:dyDescent="0.2">
      <c r="B41" t="s">
        <v>110</v>
      </c>
      <c r="C41" s="12">
        <v>158</v>
      </c>
      <c r="D41" s="8">
        <v>1.52</v>
      </c>
      <c r="E41" s="12">
        <v>14</v>
      </c>
      <c r="F41" s="8">
        <v>0.35</v>
      </c>
      <c r="G41" s="12">
        <v>144</v>
      </c>
      <c r="H41" s="8">
        <v>2.27</v>
      </c>
      <c r="I41" s="12">
        <v>0</v>
      </c>
    </row>
    <row r="42" spans="2:9" ht="15" customHeight="1" x14ac:dyDescent="0.2">
      <c r="B42" t="s">
        <v>93</v>
      </c>
      <c r="C42" s="12">
        <v>158</v>
      </c>
      <c r="D42" s="8">
        <v>1.52</v>
      </c>
      <c r="E42" s="12">
        <v>9</v>
      </c>
      <c r="F42" s="8">
        <v>0.22</v>
      </c>
      <c r="G42" s="12">
        <v>149</v>
      </c>
      <c r="H42" s="8">
        <v>2.35</v>
      </c>
      <c r="I42" s="12">
        <v>0</v>
      </c>
    </row>
    <row r="43" spans="2:9" ht="15" customHeight="1" x14ac:dyDescent="0.2">
      <c r="B43" t="s">
        <v>95</v>
      </c>
      <c r="C43" s="12">
        <v>150</v>
      </c>
      <c r="D43" s="8">
        <v>1.44</v>
      </c>
      <c r="E43" s="12">
        <v>78</v>
      </c>
      <c r="F43" s="8">
        <v>1.93</v>
      </c>
      <c r="G43" s="12">
        <v>72</v>
      </c>
      <c r="H43" s="8">
        <v>1.1299999999999999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593</v>
      </c>
      <c r="D47" s="8">
        <v>5.69</v>
      </c>
      <c r="E47" s="12">
        <v>233</v>
      </c>
      <c r="F47" s="8">
        <v>5.76</v>
      </c>
      <c r="G47" s="12">
        <v>360</v>
      </c>
      <c r="H47" s="8">
        <v>5.67</v>
      </c>
      <c r="I47" s="12">
        <v>0</v>
      </c>
    </row>
    <row r="48" spans="2:9" ht="15" customHeight="1" x14ac:dyDescent="0.2">
      <c r="B48" t="s">
        <v>172</v>
      </c>
      <c r="C48" s="12">
        <v>364</v>
      </c>
      <c r="D48" s="8">
        <v>3.49</v>
      </c>
      <c r="E48" s="12">
        <v>282</v>
      </c>
      <c r="F48" s="8">
        <v>6.97</v>
      </c>
      <c r="G48" s="12">
        <v>82</v>
      </c>
      <c r="H48" s="8">
        <v>1.29</v>
      </c>
      <c r="I48" s="12">
        <v>0</v>
      </c>
    </row>
    <row r="49" spans="2:9" ht="15" customHeight="1" x14ac:dyDescent="0.2">
      <c r="B49" t="s">
        <v>168</v>
      </c>
      <c r="C49" s="12">
        <v>334</v>
      </c>
      <c r="D49" s="8">
        <v>3.21</v>
      </c>
      <c r="E49" s="12">
        <v>244</v>
      </c>
      <c r="F49" s="8">
        <v>6.03</v>
      </c>
      <c r="G49" s="12">
        <v>90</v>
      </c>
      <c r="H49" s="8">
        <v>1.42</v>
      </c>
      <c r="I49" s="12">
        <v>0</v>
      </c>
    </row>
    <row r="50" spans="2:9" ht="15" customHeight="1" x14ac:dyDescent="0.2">
      <c r="B50" t="s">
        <v>169</v>
      </c>
      <c r="C50" s="12">
        <v>310</v>
      </c>
      <c r="D50" s="8">
        <v>2.98</v>
      </c>
      <c r="E50" s="12">
        <v>267</v>
      </c>
      <c r="F50" s="8">
        <v>6.6</v>
      </c>
      <c r="G50" s="12">
        <v>43</v>
      </c>
      <c r="H50" s="8">
        <v>0.68</v>
      </c>
      <c r="I50" s="12">
        <v>0</v>
      </c>
    </row>
    <row r="51" spans="2:9" ht="15" customHeight="1" x14ac:dyDescent="0.2">
      <c r="B51" t="s">
        <v>175</v>
      </c>
      <c r="C51" s="12">
        <v>289</v>
      </c>
      <c r="D51" s="8">
        <v>2.77</v>
      </c>
      <c r="E51" s="12">
        <v>246</v>
      </c>
      <c r="F51" s="8">
        <v>6.08</v>
      </c>
      <c r="G51" s="12">
        <v>43</v>
      </c>
      <c r="H51" s="8">
        <v>0.68</v>
      </c>
      <c r="I51" s="12">
        <v>0</v>
      </c>
    </row>
    <row r="52" spans="2:9" ht="15" customHeight="1" x14ac:dyDescent="0.2">
      <c r="B52" t="s">
        <v>163</v>
      </c>
      <c r="C52" s="12">
        <v>277</v>
      </c>
      <c r="D52" s="8">
        <v>2.66</v>
      </c>
      <c r="E52" s="12">
        <v>14</v>
      </c>
      <c r="F52" s="8">
        <v>0.35</v>
      </c>
      <c r="G52" s="12">
        <v>262</v>
      </c>
      <c r="H52" s="8">
        <v>4.13</v>
      </c>
      <c r="I52" s="12">
        <v>1</v>
      </c>
    </row>
    <row r="53" spans="2:9" ht="15" customHeight="1" x14ac:dyDescent="0.2">
      <c r="B53" t="s">
        <v>171</v>
      </c>
      <c r="C53" s="12">
        <v>255</v>
      </c>
      <c r="D53" s="8">
        <v>2.4500000000000002</v>
      </c>
      <c r="E53" s="12">
        <v>227</v>
      </c>
      <c r="F53" s="8">
        <v>5.61</v>
      </c>
      <c r="G53" s="12">
        <v>28</v>
      </c>
      <c r="H53" s="8">
        <v>0.44</v>
      </c>
      <c r="I53" s="12">
        <v>0</v>
      </c>
    </row>
    <row r="54" spans="2:9" ht="15" customHeight="1" x14ac:dyDescent="0.2">
      <c r="B54" t="s">
        <v>173</v>
      </c>
      <c r="C54" s="12">
        <v>218</v>
      </c>
      <c r="D54" s="8">
        <v>2.09</v>
      </c>
      <c r="E54" s="12">
        <v>159</v>
      </c>
      <c r="F54" s="8">
        <v>3.93</v>
      </c>
      <c r="G54" s="12">
        <v>58</v>
      </c>
      <c r="H54" s="8">
        <v>0.91</v>
      </c>
      <c r="I54" s="12">
        <v>1</v>
      </c>
    </row>
    <row r="55" spans="2:9" ht="15" customHeight="1" x14ac:dyDescent="0.2">
      <c r="B55" t="s">
        <v>160</v>
      </c>
      <c r="C55" s="12">
        <v>188</v>
      </c>
      <c r="D55" s="8">
        <v>1.8</v>
      </c>
      <c r="E55" s="12">
        <v>18</v>
      </c>
      <c r="F55" s="8">
        <v>0.44</v>
      </c>
      <c r="G55" s="12">
        <v>170</v>
      </c>
      <c r="H55" s="8">
        <v>2.68</v>
      </c>
      <c r="I55" s="12">
        <v>0</v>
      </c>
    </row>
    <row r="56" spans="2:9" ht="15" customHeight="1" x14ac:dyDescent="0.2">
      <c r="B56" t="s">
        <v>192</v>
      </c>
      <c r="C56" s="12">
        <v>183</v>
      </c>
      <c r="D56" s="8">
        <v>1.76</v>
      </c>
      <c r="E56" s="12">
        <v>19</v>
      </c>
      <c r="F56" s="8">
        <v>0.47</v>
      </c>
      <c r="G56" s="12">
        <v>164</v>
      </c>
      <c r="H56" s="8">
        <v>2.58</v>
      </c>
      <c r="I56" s="12">
        <v>0</v>
      </c>
    </row>
    <row r="57" spans="2:9" ht="15" customHeight="1" x14ac:dyDescent="0.2">
      <c r="B57" t="s">
        <v>178</v>
      </c>
      <c r="C57" s="12">
        <v>180</v>
      </c>
      <c r="D57" s="8">
        <v>1.73</v>
      </c>
      <c r="E57" s="12">
        <v>20</v>
      </c>
      <c r="F57" s="8">
        <v>0.49</v>
      </c>
      <c r="G57" s="12">
        <v>160</v>
      </c>
      <c r="H57" s="8">
        <v>2.52</v>
      </c>
      <c r="I57" s="12">
        <v>0</v>
      </c>
    </row>
    <row r="58" spans="2:9" ht="15" customHeight="1" x14ac:dyDescent="0.2">
      <c r="B58" t="s">
        <v>159</v>
      </c>
      <c r="C58" s="12">
        <v>167</v>
      </c>
      <c r="D58" s="8">
        <v>1.6</v>
      </c>
      <c r="E58" s="12">
        <v>105</v>
      </c>
      <c r="F58" s="8">
        <v>2.6</v>
      </c>
      <c r="G58" s="12">
        <v>62</v>
      </c>
      <c r="H58" s="8">
        <v>0.98</v>
      </c>
      <c r="I58" s="12">
        <v>0</v>
      </c>
    </row>
    <row r="59" spans="2:9" ht="15" customHeight="1" x14ac:dyDescent="0.2">
      <c r="B59" t="s">
        <v>158</v>
      </c>
      <c r="C59" s="12">
        <v>162</v>
      </c>
      <c r="D59" s="8">
        <v>1.56</v>
      </c>
      <c r="E59" s="12">
        <v>103</v>
      </c>
      <c r="F59" s="8">
        <v>2.5499999999999998</v>
      </c>
      <c r="G59" s="12">
        <v>59</v>
      </c>
      <c r="H59" s="8">
        <v>0.93</v>
      </c>
      <c r="I59" s="12">
        <v>0</v>
      </c>
    </row>
    <row r="60" spans="2:9" ht="15" customHeight="1" x14ac:dyDescent="0.2">
      <c r="B60" t="s">
        <v>197</v>
      </c>
      <c r="C60" s="12">
        <v>160</v>
      </c>
      <c r="D60" s="8">
        <v>1.54</v>
      </c>
      <c r="E60" s="12">
        <v>78</v>
      </c>
      <c r="F60" s="8">
        <v>1.93</v>
      </c>
      <c r="G60" s="12">
        <v>82</v>
      </c>
      <c r="H60" s="8">
        <v>1.29</v>
      </c>
      <c r="I60" s="12">
        <v>0</v>
      </c>
    </row>
    <row r="61" spans="2:9" ht="15" customHeight="1" x14ac:dyDescent="0.2">
      <c r="B61" t="s">
        <v>161</v>
      </c>
      <c r="C61" s="12">
        <v>155</v>
      </c>
      <c r="D61" s="8">
        <v>1.49</v>
      </c>
      <c r="E61" s="12">
        <v>29</v>
      </c>
      <c r="F61" s="8">
        <v>0.72</v>
      </c>
      <c r="G61" s="12">
        <v>125</v>
      </c>
      <c r="H61" s="8">
        <v>1.97</v>
      </c>
      <c r="I61" s="12">
        <v>0</v>
      </c>
    </row>
    <row r="62" spans="2:9" ht="15" customHeight="1" x14ac:dyDescent="0.2">
      <c r="B62" t="s">
        <v>174</v>
      </c>
      <c r="C62" s="12">
        <v>154</v>
      </c>
      <c r="D62" s="8">
        <v>1.48</v>
      </c>
      <c r="E62" s="12">
        <v>132</v>
      </c>
      <c r="F62" s="8">
        <v>3.26</v>
      </c>
      <c r="G62" s="12">
        <v>22</v>
      </c>
      <c r="H62" s="8">
        <v>0.35</v>
      </c>
      <c r="I62" s="12">
        <v>0</v>
      </c>
    </row>
    <row r="63" spans="2:9" ht="15" customHeight="1" x14ac:dyDescent="0.2">
      <c r="B63" t="s">
        <v>195</v>
      </c>
      <c r="C63" s="12">
        <v>151</v>
      </c>
      <c r="D63" s="8">
        <v>1.45</v>
      </c>
      <c r="E63" s="12">
        <v>30</v>
      </c>
      <c r="F63" s="8">
        <v>0.74</v>
      </c>
      <c r="G63" s="12">
        <v>121</v>
      </c>
      <c r="H63" s="8">
        <v>1.91</v>
      </c>
      <c r="I63" s="12">
        <v>0</v>
      </c>
    </row>
    <row r="64" spans="2:9" ht="15" customHeight="1" x14ac:dyDescent="0.2">
      <c r="B64" t="s">
        <v>201</v>
      </c>
      <c r="C64" s="12">
        <v>145</v>
      </c>
      <c r="D64" s="8">
        <v>1.39</v>
      </c>
      <c r="E64" s="12">
        <v>10</v>
      </c>
      <c r="F64" s="8">
        <v>0.25</v>
      </c>
      <c r="G64" s="12">
        <v>135</v>
      </c>
      <c r="H64" s="8">
        <v>2.13</v>
      </c>
      <c r="I64" s="12">
        <v>0</v>
      </c>
    </row>
    <row r="65" spans="2:9" ht="15" customHeight="1" x14ac:dyDescent="0.2">
      <c r="B65" t="s">
        <v>206</v>
      </c>
      <c r="C65" s="12">
        <v>144</v>
      </c>
      <c r="D65" s="8">
        <v>1.38</v>
      </c>
      <c r="E65" s="12">
        <v>15</v>
      </c>
      <c r="F65" s="8">
        <v>0.37</v>
      </c>
      <c r="G65" s="12">
        <v>129</v>
      </c>
      <c r="H65" s="8">
        <v>2.0299999999999998</v>
      </c>
      <c r="I65" s="12">
        <v>0</v>
      </c>
    </row>
    <row r="66" spans="2:9" ht="15" customHeight="1" x14ac:dyDescent="0.2">
      <c r="B66" t="s">
        <v>198</v>
      </c>
      <c r="C66" s="12">
        <v>136</v>
      </c>
      <c r="D66" s="8">
        <v>1.31</v>
      </c>
      <c r="E66" s="12">
        <v>30</v>
      </c>
      <c r="F66" s="8">
        <v>0.74</v>
      </c>
      <c r="G66" s="12">
        <v>106</v>
      </c>
      <c r="H66" s="8">
        <v>1.67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7243-13C4-4538-8E3C-DEC72695E48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2014</v>
      </c>
      <c r="D6" s="8">
        <v>15.88</v>
      </c>
      <c r="E6" s="12">
        <v>246</v>
      </c>
      <c r="F6" s="8">
        <v>5.19</v>
      </c>
      <c r="G6" s="12">
        <v>1768</v>
      </c>
      <c r="H6" s="8">
        <v>22.35</v>
      </c>
      <c r="I6" s="12">
        <v>0</v>
      </c>
    </row>
    <row r="7" spans="2:9" ht="15" customHeight="1" x14ac:dyDescent="0.2">
      <c r="B7" t="s">
        <v>67</v>
      </c>
      <c r="C7" s="12">
        <v>621</v>
      </c>
      <c r="D7" s="8">
        <v>4.9000000000000004</v>
      </c>
      <c r="E7" s="12">
        <v>145</v>
      </c>
      <c r="F7" s="8">
        <v>3.06</v>
      </c>
      <c r="G7" s="12">
        <v>476</v>
      </c>
      <c r="H7" s="8">
        <v>6.02</v>
      </c>
      <c r="I7" s="12">
        <v>0</v>
      </c>
    </row>
    <row r="8" spans="2:9" ht="15" customHeight="1" x14ac:dyDescent="0.2">
      <c r="B8" t="s">
        <v>68</v>
      </c>
      <c r="C8" s="12">
        <v>4</v>
      </c>
      <c r="D8" s="8">
        <v>0.03</v>
      </c>
      <c r="E8" s="12">
        <v>0</v>
      </c>
      <c r="F8" s="8">
        <v>0</v>
      </c>
      <c r="G8" s="12">
        <v>3</v>
      </c>
      <c r="H8" s="8">
        <v>0.04</v>
      </c>
      <c r="I8" s="12">
        <v>1</v>
      </c>
    </row>
    <row r="9" spans="2:9" ht="15" customHeight="1" x14ac:dyDescent="0.2">
      <c r="B9" t="s">
        <v>69</v>
      </c>
      <c r="C9" s="12">
        <v>404</v>
      </c>
      <c r="D9" s="8">
        <v>3.19</v>
      </c>
      <c r="E9" s="12">
        <v>11</v>
      </c>
      <c r="F9" s="8">
        <v>0.23</v>
      </c>
      <c r="G9" s="12">
        <v>393</v>
      </c>
      <c r="H9" s="8">
        <v>4.97</v>
      </c>
      <c r="I9" s="12">
        <v>0</v>
      </c>
    </row>
    <row r="10" spans="2:9" ht="15" customHeight="1" x14ac:dyDescent="0.2">
      <c r="B10" t="s">
        <v>70</v>
      </c>
      <c r="C10" s="12">
        <v>276</v>
      </c>
      <c r="D10" s="8">
        <v>2.1800000000000002</v>
      </c>
      <c r="E10" s="12">
        <v>207</v>
      </c>
      <c r="F10" s="8">
        <v>4.37</v>
      </c>
      <c r="G10" s="12">
        <v>69</v>
      </c>
      <c r="H10" s="8">
        <v>0.87</v>
      </c>
      <c r="I10" s="12">
        <v>0</v>
      </c>
    </row>
    <row r="11" spans="2:9" ht="15" customHeight="1" x14ac:dyDescent="0.2">
      <c r="B11" t="s">
        <v>71</v>
      </c>
      <c r="C11" s="12">
        <v>2178</v>
      </c>
      <c r="D11" s="8">
        <v>17.170000000000002</v>
      </c>
      <c r="E11" s="12">
        <v>783</v>
      </c>
      <c r="F11" s="8">
        <v>16.510000000000002</v>
      </c>
      <c r="G11" s="12">
        <v>1394</v>
      </c>
      <c r="H11" s="8">
        <v>17.62</v>
      </c>
      <c r="I11" s="12">
        <v>1</v>
      </c>
    </row>
    <row r="12" spans="2:9" ht="15" customHeight="1" x14ac:dyDescent="0.2">
      <c r="B12" t="s">
        <v>72</v>
      </c>
      <c r="C12" s="12">
        <v>52</v>
      </c>
      <c r="D12" s="8">
        <v>0.41</v>
      </c>
      <c r="E12" s="12">
        <v>5</v>
      </c>
      <c r="F12" s="8">
        <v>0.11</v>
      </c>
      <c r="G12" s="12">
        <v>47</v>
      </c>
      <c r="H12" s="8">
        <v>0.59</v>
      </c>
      <c r="I12" s="12">
        <v>0</v>
      </c>
    </row>
    <row r="13" spans="2:9" ht="15" customHeight="1" x14ac:dyDescent="0.2">
      <c r="B13" t="s">
        <v>73</v>
      </c>
      <c r="C13" s="12">
        <v>1969</v>
      </c>
      <c r="D13" s="8">
        <v>15.52</v>
      </c>
      <c r="E13" s="12">
        <v>400</v>
      </c>
      <c r="F13" s="8">
        <v>8.44</v>
      </c>
      <c r="G13" s="12">
        <v>1567</v>
      </c>
      <c r="H13" s="8">
        <v>19.809999999999999</v>
      </c>
      <c r="I13" s="12">
        <v>0</v>
      </c>
    </row>
    <row r="14" spans="2:9" ht="15" customHeight="1" x14ac:dyDescent="0.2">
      <c r="B14" t="s">
        <v>74</v>
      </c>
      <c r="C14" s="12">
        <v>980</v>
      </c>
      <c r="D14" s="8">
        <v>7.73</v>
      </c>
      <c r="E14" s="12">
        <v>331</v>
      </c>
      <c r="F14" s="8">
        <v>6.98</v>
      </c>
      <c r="G14" s="12">
        <v>649</v>
      </c>
      <c r="H14" s="8">
        <v>8.1999999999999993</v>
      </c>
      <c r="I14" s="12">
        <v>0</v>
      </c>
    </row>
    <row r="15" spans="2:9" ht="15" customHeight="1" x14ac:dyDescent="0.2">
      <c r="B15" t="s">
        <v>75</v>
      </c>
      <c r="C15" s="12">
        <v>1134</v>
      </c>
      <c r="D15" s="8">
        <v>8.94</v>
      </c>
      <c r="E15" s="12">
        <v>837</v>
      </c>
      <c r="F15" s="8">
        <v>17.649999999999999</v>
      </c>
      <c r="G15" s="12">
        <v>296</v>
      </c>
      <c r="H15" s="8">
        <v>3.74</v>
      </c>
      <c r="I15" s="12">
        <v>0</v>
      </c>
    </row>
    <row r="16" spans="2:9" ht="15" customHeight="1" x14ac:dyDescent="0.2">
      <c r="B16" t="s">
        <v>76</v>
      </c>
      <c r="C16" s="12">
        <v>1327</v>
      </c>
      <c r="D16" s="8">
        <v>10.46</v>
      </c>
      <c r="E16" s="12">
        <v>876</v>
      </c>
      <c r="F16" s="8">
        <v>18.47</v>
      </c>
      <c r="G16" s="12">
        <v>450</v>
      </c>
      <c r="H16" s="8">
        <v>5.69</v>
      </c>
      <c r="I16" s="12">
        <v>0</v>
      </c>
    </row>
    <row r="17" spans="2:9" ht="15" customHeight="1" x14ac:dyDescent="0.2">
      <c r="B17" t="s">
        <v>77</v>
      </c>
      <c r="C17" s="12">
        <v>538</v>
      </c>
      <c r="D17" s="8">
        <v>4.24</v>
      </c>
      <c r="E17" s="12">
        <v>342</v>
      </c>
      <c r="F17" s="8">
        <v>7.21</v>
      </c>
      <c r="G17" s="12">
        <v>178</v>
      </c>
      <c r="H17" s="8">
        <v>2.25</v>
      </c>
      <c r="I17" s="12">
        <v>1</v>
      </c>
    </row>
    <row r="18" spans="2:9" ht="15" customHeight="1" x14ac:dyDescent="0.2">
      <c r="B18" t="s">
        <v>78</v>
      </c>
      <c r="C18" s="12">
        <v>767</v>
      </c>
      <c r="D18" s="8">
        <v>6.05</v>
      </c>
      <c r="E18" s="12">
        <v>499</v>
      </c>
      <c r="F18" s="8">
        <v>10.52</v>
      </c>
      <c r="G18" s="12">
        <v>267</v>
      </c>
      <c r="H18" s="8">
        <v>3.37</v>
      </c>
      <c r="I18" s="12">
        <v>0</v>
      </c>
    </row>
    <row r="19" spans="2:9" ht="15" customHeight="1" x14ac:dyDescent="0.2">
      <c r="B19" t="s">
        <v>79</v>
      </c>
      <c r="C19" s="12">
        <v>419</v>
      </c>
      <c r="D19" s="8">
        <v>3.3</v>
      </c>
      <c r="E19" s="12">
        <v>60</v>
      </c>
      <c r="F19" s="8">
        <v>1.27</v>
      </c>
      <c r="G19" s="12">
        <v>355</v>
      </c>
      <c r="H19" s="8">
        <v>4.49</v>
      </c>
      <c r="I19" s="12">
        <v>3</v>
      </c>
    </row>
    <row r="20" spans="2:9" ht="15" customHeight="1" x14ac:dyDescent="0.2">
      <c r="B20" s="9" t="s">
        <v>280</v>
      </c>
      <c r="C20" s="12">
        <f>SUM(LTBL_13120[総数／事業所数])</f>
        <v>12683</v>
      </c>
      <c r="E20" s="12">
        <f>SUBTOTAL(109,LTBL_13120[個人／事業所数])</f>
        <v>4742</v>
      </c>
      <c r="G20" s="12">
        <f>SUBTOTAL(109,LTBL_13120[法人／事業所数])</f>
        <v>7912</v>
      </c>
      <c r="I20" s="12">
        <f>SUBTOTAL(109,LTBL_13120[法人以外の団体／事業所数])</f>
        <v>6</v>
      </c>
    </row>
    <row r="21" spans="2:9" ht="15" customHeight="1" x14ac:dyDescent="0.2">
      <c r="E21" s="11">
        <f>LTBL_13120[[#Totals],[個人／事業所数]]/LTBL_13120[[#Totals],[総数／事業所数]]</f>
        <v>0.37388630450208943</v>
      </c>
      <c r="G21" s="11">
        <f>LTBL_13120[[#Totals],[法人／事業所数]]/LTBL_13120[[#Totals],[総数／事業所数]]</f>
        <v>0.62382717022786405</v>
      </c>
      <c r="I21" s="11">
        <f>LTBL_13120[[#Totals],[法人以外の団体／事業所数]]/LTBL_13120[[#Totals],[総数／事業所数]]</f>
        <v>4.7307419380272807E-4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1620</v>
      </c>
      <c r="D24" s="8">
        <v>12.77</v>
      </c>
      <c r="E24" s="12">
        <v>371</v>
      </c>
      <c r="F24" s="8">
        <v>7.82</v>
      </c>
      <c r="G24" s="12">
        <v>1247</v>
      </c>
      <c r="H24" s="8">
        <v>15.76</v>
      </c>
      <c r="I24" s="12">
        <v>0</v>
      </c>
    </row>
    <row r="25" spans="2:9" ht="15" customHeight="1" x14ac:dyDescent="0.2">
      <c r="B25" t="s">
        <v>104</v>
      </c>
      <c r="C25" s="12">
        <v>1069</v>
      </c>
      <c r="D25" s="8">
        <v>8.43</v>
      </c>
      <c r="E25" s="12">
        <v>792</v>
      </c>
      <c r="F25" s="8">
        <v>16.7</v>
      </c>
      <c r="G25" s="12">
        <v>277</v>
      </c>
      <c r="H25" s="8">
        <v>3.5</v>
      </c>
      <c r="I25" s="12">
        <v>0</v>
      </c>
    </row>
    <row r="26" spans="2:9" ht="15" customHeight="1" x14ac:dyDescent="0.2">
      <c r="B26" t="s">
        <v>103</v>
      </c>
      <c r="C26" s="12">
        <v>1050</v>
      </c>
      <c r="D26" s="8">
        <v>8.2799999999999994</v>
      </c>
      <c r="E26" s="12">
        <v>827</v>
      </c>
      <c r="F26" s="8">
        <v>17.440000000000001</v>
      </c>
      <c r="G26" s="12">
        <v>223</v>
      </c>
      <c r="H26" s="8">
        <v>2.82</v>
      </c>
      <c r="I26" s="12">
        <v>0</v>
      </c>
    </row>
    <row r="27" spans="2:9" ht="15" customHeight="1" x14ac:dyDescent="0.2">
      <c r="B27" t="s">
        <v>89</v>
      </c>
      <c r="C27" s="12">
        <v>747</v>
      </c>
      <c r="D27" s="8">
        <v>5.89</v>
      </c>
      <c r="E27" s="12">
        <v>117</v>
      </c>
      <c r="F27" s="8">
        <v>2.4700000000000002</v>
      </c>
      <c r="G27" s="12">
        <v>630</v>
      </c>
      <c r="H27" s="8">
        <v>7.96</v>
      </c>
      <c r="I27" s="12">
        <v>0</v>
      </c>
    </row>
    <row r="28" spans="2:9" ht="15" customHeight="1" x14ac:dyDescent="0.2">
      <c r="B28" t="s">
        <v>88</v>
      </c>
      <c r="C28" s="12">
        <v>645</v>
      </c>
      <c r="D28" s="8">
        <v>5.09</v>
      </c>
      <c r="E28" s="12">
        <v>74</v>
      </c>
      <c r="F28" s="8">
        <v>1.56</v>
      </c>
      <c r="G28" s="12">
        <v>571</v>
      </c>
      <c r="H28" s="8">
        <v>7.22</v>
      </c>
      <c r="I28" s="12">
        <v>0</v>
      </c>
    </row>
    <row r="29" spans="2:9" ht="15" customHeight="1" x14ac:dyDescent="0.2">
      <c r="B29" t="s">
        <v>90</v>
      </c>
      <c r="C29" s="12">
        <v>622</v>
      </c>
      <c r="D29" s="8">
        <v>4.9000000000000004</v>
      </c>
      <c r="E29" s="12">
        <v>55</v>
      </c>
      <c r="F29" s="8">
        <v>1.1599999999999999</v>
      </c>
      <c r="G29" s="12">
        <v>567</v>
      </c>
      <c r="H29" s="8">
        <v>7.17</v>
      </c>
      <c r="I29" s="12">
        <v>0</v>
      </c>
    </row>
    <row r="30" spans="2:9" ht="15" customHeight="1" x14ac:dyDescent="0.2">
      <c r="B30" t="s">
        <v>101</v>
      </c>
      <c r="C30" s="12">
        <v>621</v>
      </c>
      <c r="D30" s="8">
        <v>4.9000000000000004</v>
      </c>
      <c r="E30" s="12">
        <v>241</v>
      </c>
      <c r="F30" s="8">
        <v>5.08</v>
      </c>
      <c r="G30" s="12">
        <v>380</v>
      </c>
      <c r="H30" s="8">
        <v>4.8</v>
      </c>
      <c r="I30" s="12">
        <v>0</v>
      </c>
    </row>
    <row r="31" spans="2:9" ht="15" customHeight="1" x14ac:dyDescent="0.2">
      <c r="B31" t="s">
        <v>106</v>
      </c>
      <c r="C31" s="12">
        <v>608</v>
      </c>
      <c r="D31" s="8">
        <v>4.79</v>
      </c>
      <c r="E31" s="12">
        <v>496</v>
      </c>
      <c r="F31" s="8">
        <v>10.46</v>
      </c>
      <c r="G31" s="12">
        <v>112</v>
      </c>
      <c r="H31" s="8">
        <v>1.42</v>
      </c>
      <c r="I31" s="12">
        <v>0</v>
      </c>
    </row>
    <row r="32" spans="2:9" ht="15" customHeight="1" x14ac:dyDescent="0.2">
      <c r="B32" t="s">
        <v>105</v>
      </c>
      <c r="C32" s="12">
        <v>538</v>
      </c>
      <c r="D32" s="8">
        <v>4.24</v>
      </c>
      <c r="E32" s="12">
        <v>342</v>
      </c>
      <c r="F32" s="8">
        <v>7.21</v>
      </c>
      <c r="G32" s="12">
        <v>178</v>
      </c>
      <c r="H32" s="8">
        <v>2.25</v>
      </c>
      <c r="I32" s="12">
        <v>1</v>
      </c>
    </row>
    <row r="33" spans="2:9" ht="15" customHeight="1" x14ac:dyDescent="0.2">
      <c r="B33" t="s">
        <v>98</v>
      </c>
      <c r="C33" s="12">
        <v>528</v>
      </c>
      <c r="D33" s="8">
        <v>4.16</v>
      </c>
      <c r="E33" s="12">
        <v>249</v>
      </c>
      <c r="F33" s="8">
        <v>5.25</v>
      </c>
      <c r="G33" s="12">
        <v>279</v>
      </c>
      <c r="H33" s="8">
        <v>3.53</v>
      </c>
      <c r="I33" s="12">
        <v>0</v>
      </c>
    </row>
    <row r="34" spans="2:9" ht="15" customHeight="1" x14ac:dyDescent="0.2">
      <c r="B34" t="s">
        <v>96</v>
      </c>
      <c r="C34" s="12">
        <v>374</v>
      </c>
      <c r="D34" s="8">
        <v>2.95</v>
      </c>
      <c r="E34" s="12">
        <v>225</v>
      </c>
      <c r="F34" s="8">
        <v>4.74</v>
      </c>
      <c r="G34" s="12">
        <v>149</v>
      </c>
      <c r="H34" s="8">
        <v>1.88</v>
      </c>
      <c r="I34" s="12">
        <v>0</v>
      </c>
    </row>
    <row r="35" spans="2:9" ht="15" customHeight="1" x14ac:dyDescent="0.2">
      <c r="B35" t="s">
        <v>102</v>
      </c>
      <c r="C35" s="12">
        <v>322</v>
      </c>
      <c r="D35" s="8">
        <v>2.54</v>
      </c>
      <c r="E35" s="12">
        <v>89</v>
      </c>
      <c r="F35" s="8">
        <v>1.88</v>
      </c>
      <c r="G35" s="12">
        <v>233</v>
      </c>
      <c r="H35" s="8">
        <v>2.94</v>
      </c>
      <c r="I35" s="12">
        <v>0</v>
      </c>
    </row>
    <row r="36" spans="2:9" ht="15" customHeight="1" x14ac:dyDescent="0.2">
      <c r="B36" t="s">
        <v>99</v>
      </c>
      <c r="C36" s="12">
        <v>305</v>
      </c>
      <c r="D36" s="8">
        <v>2.4</v>
      </c>
      <c r="E36" s="12">
        <v>27</v>
      </c>
      <c r="F36" s="8">
        <v>0.56999999999999995</v>
      </c>
      <c r="G36" s="12">
        <v>278</v>
      </c>
      <c r="H36" s="8">
        <v>3.51</v>
      </c>
      <c r="I36" s="12">
        <v>0</v>
      </c>
    </row>
    <row r="37" spans="2:9" ht="15" customHeight="1" x14ac:dyDescent="0.2">
      <c r="B37" t="s">
        <v>97</v>
      </c>
      <c r="C37" s="12">
        <v>253</v>
      </c>
      <c r="D37" s="8">
        <v>1.99</v>
      </c>
      <c r="E37" s="12">
        <v>100</v>
      </c>
      <c r="F37" s="8">
        <v>2.11</v>
      </c>
      <c r="G37" s="12">
        <v>152</v>
      </c>
      <c r="H37" s="8">
        <v>1.92</v>
      </c>
      <c r="I37" s="12">
        <v>1</v>
      </c>
    </row>
    <row r="38" spans="2:9" ht="15" customHeight="1" x14ac:dyDescent="0.2">
      <c r="B38" t="s">
        <v>107</v>
      </c>
      <c r="C38" s="12">
        <v>252</v>
      </c>
      <c r="D38" s="8">
        <v>1.99</v>
      </c>
      <c r="E38" s="12">
        <v>11</v>
      </c>
      <c r="F38" s="8">
        <v>0.23</v>
      </c>
      <c r="G38" s="12">
        <v>238</v>
      </c>
      <c r="H38" s="8">
        <v>3.01</v>
      </c>
      <c r="I38" s="12">
        <v>3</v>
      </c>
    </row>
    <row r="39" spans="2:9" ht="15" customHeight="1" x14ac:dyDescent="0.2">
      <c r="B39" t="s">
        <v>123</v>
      </c>
      <c r="C39" s="12">
        <v>208</v>
      </c>
      <c r="D39" s="8">
        <v>1.64</v>
      </c>
      <c r="E39" s="12">
        <v>200</v>
      </c>
      <c r="F39" s="8">
        <v>4.22</v>
      </c>
      <c r="G39" s="12">
        <v>8</v>
      </c>
      <c r="H39" s="8">
        <v>0.1</v>
      </c>
      <c r="I39" s="12">
        <v>0</v>
      </c>
    </row>
    <row r="40" spans="2:9" ht="15" customHeight="1" x14ac:dyDescent="0.2">
      <c r="B40" t="s">
        <v>95</v>
      </c>
      <c r="C40" s="12">
        <v>207</v>
      </c>
      <c r="D40" s="8">
        <v>1.63</v>
      </c>
      <c r="E40" s="12">
        <v>110</v>
      </c>
      <c r="F40" s="8">
        <v>2.3199999999999998</v>
      </c>
      <c r="G40" s="12">
        <v>97</v>
      </c>
      <c r="H40" s="8">
        <v>1.23</v>
      </c>
      <c r="I40" s="12">
        <v>0</v>
      </c>
    </row>
    <row r="41" spans="2:9" ht="15" customHeight="1" x14ac:dyDescent="0.2">
      <c r="B41" t="s">
        <v>94</v>
      </c>
      <c r="C41" s="12">
        <v>204</v>
      </c>
      <c r="D41" s="8">
        <v>1.61</v>
      </c>
      <c r="E41" s="12">
        <v>27</v>
      </c>
      <c r="F41" s="8">
        <v>0.56999999999999995</v>
      </c>
      <c r="G41" s="12">
        <v>177</v>
      </c>
      <c r="H41" s="8">
        <v>2.2400000000000002</v>
      </c>
      <c r="I41" s="12">
        <v>0</v>
      </c>
    </row>
    <row r="42" spans="2:9" ht="15" customHeight="1" x14ac:dyDescent="0.2">
      <c r="B42" t="s">
        <v>91</v>
      </c>
      <c r="C42" s="12">
        <v>183</v>
      </c>
      <c r="D42" s="8">
        <v>1.44</v>
      </c>
      <c r="E42" s="12">
        <v>2</v>
      </c>
      <c r="F42" s="8">
        <v>0.04</v>
      </c>
      <c r="G42" s="12">
        <v>181</v>
      </c>
      <c r="H42" s="8">
        <v>2.29</v>
      </c>
      <c r="I42" s="12">
        <v>0</v>
      </c>
    </row>
    <row r="43" spans="2:9" ht="15" customHeight="1" x14ac:dyDescent="0.2">
      <c r="B43" t="s">
        <v>92</v>
      </c>
      <c r="C43" s="12">
        <v>179</v>
      </c>
      <c r="D43" s="8">
        <v>1.41</v>
      </c>
      <c r="E43" s="12">
        <v>8</v>
      </c>
      <c r="F43" s="8">
        <v>0.17</v>
      </c>
      <c r="G43" s="12">
        <v>171</v>
      </c>
      <c r="H43" s="8">
        <v>2.16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883</v>
      </c>
      <c r="D47" s="8">
        <v>6.96</v>
      </c>
      <c r="E47" s="12">
        <v>290</v>
      </c>
      <c r="F47" s="8">
        <v>6.12</v>
      </c>
      <c r="G47" s="12">
        <v>593</v>
      </c>
      <c r="H47" s="8">
        <v>7.49</v>
      </c>
      <c r="I47" s="12">
        <v>0</v>
      </c>
    </row>
    <row r="48" spans="2:9" ht="15" customHeight="1" x14ac:dyDescent="0.2">
      <c r="B48" t="s">
        <v>172</v>
      </c>
      <c r="C48" s="12">
        <v>489</v>
      </c>
      <c r="D48" s="8">
        <v>3.86</v>
      </c>
      <c r="E48" s="12">
        <v>388</v>
      </c>
      <c r="F48" s="8">
        <v>8.18</v>
      </c>
      <c r="G48" s="12">
        <v>101</v>
      </c>
      <c r="H48" s="8">
        <v>1.28</v>
      </c>
      <c r="I48" s="12">
        <v>0</v>
      </c>
    </row>
    <row r="49" spans="2:9" ht="15" customHeight="1" x14ac:dyDescent="0.2">
      <c r="B49" t="s">
        <v>163</v>
      </c>
      <c r="C49" s="12">
        <v>455</v>
      </c>
      <c r="D49" s="8">
        <v>3.59</v>
      </c>
      <c r="E49" s="12">
        <v>15</v>
      </c>
      <c r="F49" s="8">
        <v>0.32</v>
      </c>
      <c r="G49" s="12">
        <v>438</v>
      </c>
      <c r="H49" s="8">
        <v>5.54</v>
      </c>
      <c r="I49" s="12">
        <v>0</v>
      </c>
    </row>
    <row r="50" spans="2:9" ht="15" customHeight="1" x14ac:dyDescent="0.2">
      <c r="B50" t="s">
        <v>175</v>
      </c>
      <c r="C50" s="12">
        <v>368</v>
      </c>
      <c r="D50" s="8">
        <v>2.9</v>
      </c>
      <c r="E50" s="12">
        <v>300</v>
      </c>
      <c r="F50" s="8">
        <v>6.33</v>
      </c>
      <c r="G50" s="12">
        <v>68</v>
      </c>
      <c r="H50" s="8">
        <v>0.86</v>
      </c>
      <c r="I50" s="12">
        <v>0</v>
      </c>
    </row>
    <row r="51" spans="2:9" ht="15" customHeight="1" x14ac:dyDescent="0.2">
      <c r="B51" t="s">
        <v>173</v>
      </c>
      <c r="C51" s="12">
        <v>345</v>
      </c>
      <c r="D51" s="8">
        <v>2.72</v>
      </c>
      <c r="E51" s="12">
        <v>260</v>
      </c>
      <c r="F51" s="8">
        <v>5.48</v>
      </c>
      <c r="G51" s="12">
        <v>84</v>
      </c>
      <c r="H51" s="8">
        <v>1.06</v>
      </c>
      <c r="I51" s="12">
        <v>1</v>
      </c>
    </row>
    <row r="52" spans="2:9" ht="15" customHeight="1" x14ac:dyDescent="0.2">
      <c r="B52" t="s">
        <v>168</v>
      </c>
      <c r="C52" s="12">
        <v>325</v>
      </c>
      <c r="D52" s="8">
        <v>2.56</v>
      </c>
      <c r="E52" s="12">
        <v>245</v>
      </c>
      <c r="F52" s="8">
        <v>5.17</v>
      </c>
      <c r="G52" s="12">
        <v>80</v>
      </c>
      <c r="H52" s="8">
        <v>1.01</v>
      </c>
      <c r="I52" s="12">
        <v>0</v>
      </c>
    </row>
    <row r="53" spans="2:9" ht="15" customHeight="1" x14ac:dyDescent="0.2">
      <c r="B53" t="s">
        <v>201</v>
      </c>
      <c r="C53" s="12">
        <v>284</v>
      </c>
      <c r="D53" s="8">
        <v>2.2400000000000002</v>
      </c>
      <c r="E53" s="12">
        <v>23</v>
      </c>
      <c r="F53" s="8">
        <v>0.49</v>
      </c>
      <c r="G53" s="12">
        <v>261</v>
      </c>
      <c r="H53" s="8">
        <v>3.3</v>
      </c>
      <c r="I53" s="12">
        <v>0</v>
      </c>
    </row>
    <row r="54" spans="2:9" ht="15" customHeight="1" x14ac:dyDescent="0.2">
      <c r="B54" t="s">
        <v>171</v>
      </c>
      <c r="C54" s="12">
        <v>280</v>
      </c>
      <c r="D54" s="8">
        <v>2.21</v>
      </c>
      <c r="E54" s="12">
        <v>257</v>
      </c>
      <c r="F54" s="8">
        <v>5.42</v>
      </c>
      <c r="G54" s="12">
        <v>23</v>
      </c>
      <c r="H54" s="8">
        <v>0.28999999999999998</v>
      </c>
      <c r="I54" s="12">
        <v>0</v>
      </c>
    </row>
    <row r="55" spans="2:9" ht="15" customHeight="1" x14ac:dyDescent="0.2">
      <c r="B55" t="s">
        <v>169</v>
      </c>
      <c r="C55" s="12">
        <v>279</v>
      </c>
      <c r="D55" s="8">
        <v>2.2000000000000002</v>
      </c>
      <c r="E55" s="12">
        <v>236</v>
      </c>
      <c r="F55" s="8">
        <v>4.9800000000000004</v>
      </c>
      <c r="G55" s="12">
        <v>43</v>
      </c>
      <c r="H55" s="8">
        <v>0.54</v>
      </c>
      <c r="I55" s="12">
        <v>0</v>
      </c>
    </row>
    <row r="56" spans="2:9" ht="15" customHeight="1" x14ac:dyDescent="0.2">
      <c r="B56" t="s">
        <v>192</v>
      </c>
      <c r="C56" s="12">
        <v>238</v>
      </c>
      <c r="D56" s="8">
        <v>1.88</v>
      </c>
      <c r="E56" s="12">
        <v>30</v>
      </c>
      <c r="F56" s="8">
        <v>0.63</v>
      </c>
      <c r="G56" s="12">
        <v>208</v>
      </c>
      <c r="H56" s="8">
        <v>2.63</v>
      </c>
      <c r="I56" s="12">
        <v>0</v>
      </c>
    </row>
    <row r="57" spans="2:9" ht="15" customHeight="1" x14ac:dyDescent="0.2">
      <c r="B57" t="s">
        <v>160</v>
      </c>
      <c r="C57" s="12">
        <v>230</v>
      </c>
      <c r="D57" s="8">
        <v>1.81</v>
      </c>
      <c r="E57" s="12">
        <v>23</v>
      </c>
      <c r="F57" s="8">
        <v>0.49</v>
      </c>
      <c r="G57" s="12">
        <v>207</v>
      </c>
      <c r="H57" s="8">
        <v>2.62</v>
      </c>
      <c r="I57" s="12">
        <v>0</v>
      </c>
    </row>
    <row r="58" spans="2:9" ht="15" customHeight="1" x14ac:dyDescent="0.2">
      <c r="B58" t="s">
        <v>200</v>
      </c>
      <c r="C58" s="12">
        <v>220</v>
      </c>
      <c r="D58" s="8">
        <v>1.73</v>
      </c>
      <c r="E58" s="12">
        <v>22</v>
      </c>
      <c r="F58" s="8">
        <v>0.46</v>
      </c>
      <c r="G58" s="12">
        <v>198</v>
      </c>
      <c r="H58" s="8">
        <v>2.5</v>
      </c>
      <c r="I58" s="12">
        <v>0</v>
      </c>
    </row>
    <row r="59" spans="2:9" ht="15" customHeight="1" x14ac:dyDescent="0.2">
      <c r="B59" t="s">
        <v>197</v>
      </c>
      <c r="C59" s="12">
        <v>211</v>
      </c>
      <c r="D59" s="8">
        <v>1.66</v>
      </c>
      <c r="E59" s="12">
        <v>101</v>
      </c>
      <c r="F59" s="8">
        <v>2.13</v>
      </c>
      <c r="G59" s="12">
        <v>110</v>
      </c>
      <c r="H59" s="8">
        <v>1.39</v>
      </c>
      <c r="I59" s="12">
        <v>0</v>
      </c>
    </row>
    <row r="60" spans="2:9" ht="15" customHeight="1" x14ac:dyDescent="0.2">
      <c r="B60" t="s">
        <v>207</v>
      </c>
      <c r="C60" s="12">
        <v>206</v>
      </c>
      <c r="D60" s="8">
        <v>1.62</v>
      </c>
      <c r="E60" s="12">
        <v>199</v>
      </c>
      <c r="F60" s="8">
        <v>4.2</v>
      </c>
      <c r="G60" s="12">
        <v>7</v>
      </c>
      <c r="H60" s="8">
        <v>0.09</v>
      </c>
      <c r="I60" s="12">
        <v>0</v>
      </c>
    </row>
    <row r="61" spans="2:9" ht="15" customHeight="1" x14ac:dyDescent="0.2">
      <c r="B61" t="s">
        <v>161</v>
      </c>
      <c r="C61" s="12">
        <v>205</v>
      </c>
      <c r="D61" s="8">
        <v>1.62</v>
      </c>
      <c r="E61" s="12">
        <v>25</v>
      </c>
      <c r="F61" s="8">
        <v>0.53</v>
      </c>
      <c r="G61" s="12">
        <v>180</v>
      </c>
      <c r="H61" s="8">
        <v>2.2799999999999998</v>
      </c>
      <c r="I61" s="12">
        <v>0</v>
      </c>
    </row>
    <row r="62" spans="2:9" ht="15" customHeight="1" x14ac:dyDescent="0.2">
      <c r="B62" t="s">
        <v>206</v>
      </c>
      <c r="C62" s="12">
        <v>202</v>
      </c>
      <c r="D62" s="8">
        <v>1.59</v>
      </c>
      <c r="E62" s="12">
        <v>19</v>
      </c>
      <c r="F62" s="8">
        <v>0.4</v>
      </c>
      <c r="G62" s="12">
        <v>183</v>
      </c>
      <c r="H62" s="8">
        <v>2.31</v>
      </c>
      <c r="I62" s="12">
        <v>0</v>
      </c>
    </row>
    <row r="63" spans="2:9" ht="15" customHeight="1" x14ac:dyDescent="0.2">
      <c r="B63" t="s">
        <v>174</v>
      </c>
      <c r="C63" s="12">
        <v>201</v>
      </c>
      <c r="D63" s="8">
        <v>1.58</v>
      </c>
      <c r="E63" s="12">
        <v>186</v>
      </c>
      <c r="F63" s="8">
        <v>3.92</v>
      </c>
      <c r="G63" s="12">
        <v>15</v>
      </c>
      <c r="H63" s="8">
        <v>0.19</v>
      </c>
      <c r="I63" s="12">
        <v>0</v>
      </c>
    </row>
    <row r="64" spans="2:9" ht="15" customHeight="1" x14ac:dyDescent="0.2">
      <c r="B64" t="s">
        <v>195</v>
      </c>
      <c r="C64" s="12">
        <v>192</v>
      </c>
      <c r="D64" s="8">
        <v>1.51</v>
      </c>
      <c r="E64" s="12">
        <v>26</v>
      </c>
      <c r="F64" s="8">
        <v>0.55000000000000004</v>
      </c>
      <c r="G64" s="12">
        <v>166</v>
      </c>
      <c r="H64" s="8">
        <v>2.1</v>
      </c>
      <c r="I64" s="12">
        <v>0</v>
      </c>
    </row>
    <row r="65" spans="2:9" ht="15" customHeight="1" x14ac:dyDescent="0.2">
      <c r="B65" t="s">
        <v>166</v>
      </c>
      <c r="C65" s="12">
        <v>187</v>
      </c>
      <c r="D65" s="8">
        <v>1.47</v>
      </c>
      <c r="E65" s="12">
        <v>6</v>
      </c>
      <c r="F65" s="8">
        <v>0.13</v>
      </c>
      <c r="G65" s="12">
        <v>181</v>
      </c>
      <c r="H65" s="8">
        <v>2.29</v>
      </c>
      <c r="I65" s="12">
        <v>0</v>
      </c>
    </row>
    <row r="66" spans="2:9" ht="15" customHeight="1" x14ac:dyDescent="0.2">
      <c r="B66" t="s">
        <v>159</v>
      </c>
      <c r="C66" s="12">
        <v>186</v>
      </c>
      <c r="D66" s="8">
        <v>1.47</v>
      </c>
      <c r="E66" s="12">
        <v>120</v>
      </c>
      <c r="F66" s="8">
        <v>2.5299999999999998</v>
      </c>
      <c r="G66" s="12">
        <v>66</v>
      </c>
      <c r="H66" s="8">
        <v>0.83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140C-D379-4110-A525-6DC57B2C88A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2164</v>
      </c>
      <c r="D6" s="8">
        <v>15.23</v>
      </c>
      <c r="E6" s="12">
        <v>337</v>
      </c>
      <c r="F6" s="8">
        <v>5.56</v>
      </c>
      <c r="G6" s="12">
        <v>1826</v>
      </c>
      <c r="H6" s="8">
        <v>22.45</v>
      </c>
      <c r="I6" s="12">
        <v>1</v>
      </c>
    </row>
    <row r="7" spans="2:9" ht="15" customHeight="1" x14ac:dyDescent="0.2">
      <c r="B7" t="s">
        <v>67</v>
      </c>
      <c r="C7" s="12">
        <v>2111</v>
      </c>
      <c r="D7" s="8">
        <v>14.86</v>
      </c>
      <c r="E7" s="12">
        <v>661</v>
      </c>
      <c r="F7" s="8">
        <v>10.9</v>
      </c>
      <c r="G7" s="12">
        <v>1450</v>
      </c>
      <c r="H7" s="8">
        <v>17.829999999999998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0.01</v>
      </c>
      <c r="E8" s="12">
        <v>0</v>
      </c>
      <c r="F8" s="8">
        <v>0</v>
      </c>
      <c r="G8" s="12">
        <v>2</v>
      </c>
      <c r="H8" s="8">
        <v>0.02</v>
      </c>
      <c r="I8" s="12">
        <v>0</v>
      </c>
    </row>
    <row r="9" spans="2:9" ht="15" customHeight="1" x14ac:dyDescent="0.2">
      <c r="B9" t="s">
        <v>69</v>
      </c>
      <c r="C9" s="12">
        <v>155</v>
      </c>
      <c r="D9" s="8">
        <v>1.0900000000000001</v>
      </c>
      <c r="E9" s="12">
        <v>7</v>
      </c>
      <c r="F9" s="8">
        <v>0.12</v>
      </c>
      <c r="G9" s="12">
        <v>148</v>
      </c>
      <c r="H9" s="8">
        <v>1.82</v>
      </c>
      <c r="I9" s="12">
        <v>0</v>
      </c>
    </row>
    <row r="10" spans="2:9" ht="15" customHeight="1" x14ac:dyDescent="0.2">
      <c r="B10" t="s">
        <v>70</v>
      </c>
      <c r="C10" s="12">
        <v>505</v>
      </c>
      <c r="D10" s="8">
        <v>3.55</v>
      </c>
      <c r="E10" s="12">
        <v>382</v>
      </c>
      <c r="F10" s="8">
        <v>6.3</v>
      </c>
      <c r="G10" s="12">
        <v>123</v>
      </c>
      <c r="H10" s="8">
        <v>1.51</v>
      </c>
      <c r="I10" s="12">
        <v>0</v>
      </c>
    </row>
    <row r="11" spans="2:9" ht="15" customHeight="1" x14ac:dyDescent="0.2">
      <c r="B11" t="s">
        <v>71</v>
      </c>
      <c r="C11" s="12">
        <v>2914</v>
      </c>
      <c r="D11" s="8">
        <v>20.51</v>
      </c>
      <c r="E11" s="12">
        <v>1138</v>
      </c>
      <c r="F11" s="8">
        <v>18.77</v>
      </c>
      <c r="G11" s="12">
        <v>1775</v>
      </c>
      <c r="H11" s="8">
        <v>21.82</v>
      </c>
      <c r="I11" s="12">
        <v>1</v>
      </c>
    </row>
    <row r="12" spans="2:9" ht="15" customHeight="1" x14ac:dyDescent="0.2">
      <c r="B12" t="s">
        <v>72</v>
      </c>
      <c r="C12" s="12">
        <v>57</v>
      </c>
      <c r="D12" s="8">
        <v>0.4</v>
      </c>
      <c r="E12" s="12">
        <v>5</v>
      </c>
      <c r="F12" s="8">
        <v>0.08</v>
      </c>
      <c r="G12" s="12">
        <v>52</v>
      </c>
      <c r="H12" s="8">
        <v>0.64</v>
      </c>
      <c r="I12" s="12">
        <v>0</v>
      </c>
    </row>
    <row r="13" spans="2:9" ht="15" customHeight="1" x14ac:dyDescent="0.2">
      <c r="B13" t="s">
        <v>73</v>
      </c>
      <c r="C13" s="12">
        <v>1645</v>
      </c>
      <c r="D13" s="8">
        <v>11.58</v>
      </c>
      <c r="E13" s="12">
        <v>531</v>
      </c>
      <c r="F13" s="8">
        <v>8.76</v>
      </c>
      <c r="G13" s="12">
        <v>1114</v>
      </c>
      <c r="H13" s="8">
        <v>13.7</v>
      </c>
      <c r="I13" s="12">
        <v>0</v>
      </c>
    </row>
    <row r="14" spans="2:9" ht="15" customHeight="1" x14ac:dyDescent="0.2">
      <c r="B14" t="s">
        <v>74</v>
      </c>
      <c r="C14" s="12">
        <v>595</v>
      </c>
      <c r="D14" s="8">
        <v>4.1900000000000004</v>
      </c>
      <c r="E14" s="12">
        <v>259</v>
      </c>
      <c r="F14" s="8">
        <v>4.2699999999999996</v>
      </c>
      <c r="G14" s="12">
        <v>335</v>
      </c>
      <c r="H14" s="8">
        <v>4.12</v>
      </c>
      <c r="I14" s="12">
        <v>0</v>
      </c>
    </row>
    <row r="15" spans="2:9" ht="15" customHeight="1" x14ac:dyDescent="0.2">
      <c r="B15" t="s">
        <v>75</v>
      </c>
      <c r="C15" s="12">
        <v>1422</v>
      </c>
      <c r="D15" s="8">
        <v>10.01</v>
      </c>
      <c r="E15" s="12">
        <v>1140</v>
      </c>
      <c r="F15" s="8">
        <v>18.8</v>
      </c>
      <c r="G15" s="12">
        <v>281</v>
      </c>
      <c r="H15" s="8">
        <v>3.46</v>
      </c>
      <c r="I15" s="12">
        <v>1</v>
      </c>
    </row>
    <row r="16" spans="2:9" ht="15" customHeight="1" x14ac:dyDescent="0.2">
      <c r="B16" t="s">
        <v>76</v>
      </c>
      <c r="C16" s="12">
        <v>1332</v>
      </c>
      <c r="D16" s="8">
        <v>9.3699999999999992</v>
      </c>
      <c r="E16" s="12">
        <v>952</v>
      </c>
      <c r="F16" s="8">
        <v>15.7</v>
      </c>
      <c r="G16" s="12">
        <v>378</v>
      </c>
      <c r="H16" s="8">
        <v>4.6500000000000004</v>
      </c>
      <c r="I16" s="12">
        <v>2</v>
      </c>
    </row>
    <row r="17" spans="2:9" ht="15" customHeight="1" x14ac:dyDescent="0.2">
      <c r="B17" t="s">
        <v>77</v>
      </c>
      <c r="C17" s="12">
        <v>282</v>
      </c>
      <c r="D17" s="8">
        <v>1.98</v>
      </c>
      <c r="E17" s="12">
        <v>193</v>
      </c>
      <c r="F17" s="8">
        <v>3.18</v>
      </c>
      <c r="G17" s="12">
        <v>88</v>
      </c>
      <c r="H17" s="8">
        <v>1.08</v>
      </c>
      <c r="I17" s="12">
        <v>0</v>
      </c>
    </row>
    <row r="18" spans="2:9" ht="15" customHeight="1" x14ac:dyDescent="0.2">
      <c r="B18" t="s">
        <v>78</v>
      </c>
      <c r="C18" s="12">
        <v>576</v>
      </c>
      <c r="D18" s="8">
        <v>4.05</v>
      </c>
      <c r="E18" s="12">
        <v>386</v>
      </c>
      <c r="F18" s="8">
        <v>6.37</v>
      </c>
      <c r="G18" s="12">
        <v>185</v>
      </c>
      <c r="H18" s="8">
        <v>2.27</v>
      </c>
      <c r="I18" s="12">
        <v>0</v>
      </c>
    </row>
    <row r="19" spans="2:9" ht="15" customHeight="1" x14ac:dyDescent="0.2">
      <c r="B19" t="s">
        <v>79</v>
      </c>
      <c r="C19" s="12">
        <v>449</v>
      </c>
      <c r="D19" s="8">
        <v>3.16</v>
      </c>
      <c r="E19" s="12">
        <v>72</v>
      </c>
      <c r="F19" s="8">
        <v>1.19</v>
      </c>
      <c r="G19" s="12">
        <v>376</v>
      </c>
      <c r="H19" s="8">
        <v>4.62</v>
      </c>
      <c r="I19" s="12">
        <v>1</v>
      </c>
    </row>
    <row r="20" spans="2:9" ht="15" customHeight="1" x14ac:dyDescent="0.2">
      <c r="B20" s="9" t="s">
        <v>280</v>
      </c>
      <c r="C20" s="12">
        <f>SUM(LTBL_13121[総数／事業所数])</f>
        <v>14209</v>
      </c>
      <c r="E20" s="12">
        <f>SUBTOTAL(109,LTBL_13121[個人／事業所数])</f>
        <v>6063</v>
      </c>
      <c r="G20" s="12">
        <f>SUBTOTAL(109,LTBL_13121[法人／事業所数])</f>
        <v>8133</v>
      </c>
      <c r="I20" s="12">
        <f>SUBTOTAL(109,LTBL_13121[法人以外の団体／事業所数])</f>
        <v>6</v>
      </c>
    </row>
    <row r="21" spans="2:9" ht="15" customHeight="1" x14ac:dyDescent="0.2">
      <c r="E21" s="11">
        <f>LTBL_13121[[#Totals],[個人／事業所数]]/LTBL_13121[[#Totals],[総数／事業所数]]</f>
        <v>0.42670138644521077</v>
      </c>
      <c r="G21" s="11">
        <f>LTBL_13121[[#Totals],[法人／事業所数]]/LTBL_13121[[#Totals],[総数／事業所数]]</f>
        <v>0.57238370047153209</v>
      </c>
      <c r="I21" s="11">
        <f>LTBL_13121[[#Totals],[法人以外の団体／事業所数]]/LTBL_13121[[#Totals],[総数／事業所数]]</f>
        <v>4.2226757688788798E-4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1370</v>
      </c>
      <c r="D24" s="8">
        <v>9.64</v>
      </c>
      <c r="E24" s="12">
        <v>510</v>
      </c>
      <c r="F24" s="8">
        <v>8.41</v>
      </c>
      <c r="G24" s="12">
        <v>860</v>
      </c>
      <c r="H24" s="8">
        <v>10.57</v>
      </c>
      <c r="I24" s="12">
        <v>0</v>
      </c>
    </row>
    <row r="25" spans="2:9" ht="15" customHeight="1" x14ac:dyDescent="0.2">
      <c r="B25" t="s">
        <v>103</v>
      </c>
      <c r="C25" s="12">
        <v>1327</v>
      </c>
      <c r="D25" s="8">
        <v>9.34</v>
      </c>
      <c r="E25" s="12">
        <v>1115</v>
      </c>
      <c r="F25" s="8">
        <v>18.39</v>
      </c>
      <c r="G25" s="12">
        <v>211</v>
      </c>
      <c r="H25" s="8">
        <v>2.59</v>
      </c>
      <c r="I25" s="12">
        <v>1</v>
      </c>
    </row>
    <row r="26" spans="2:9" ht="15" customHeight="1" x14ac:dyDescent="0.2">
      <c r="B26" t="s">
        <v>104</v>
      </c>
      <c r="C26" s="12">
        <v>1096</v>
      </c>
      <c r="D26" s="8">
        <v>7.71</v>
      </c>
      <c r="E26" s="12">
        <v>862</v>
      </c>
      <c r="F26" s="8">
        <v>14.22</v>
      </c>
      <c r="G26" s="12">
        <v>234</v>
      </c>
      <c r="H26" s="8">
        <v>2.88</v>
      </c>
      <c r="I26" s="12">
        <v>0</v>
      </c>
    </row>
    <row r="27" spans="2:9" ht="15" customHeight="1" x14ac:dyDescent="0.2">
      <c r="B27" t="s">
        <v>89</v>
      </c>
      <c r="C27" s="12">
        <v>929</v>
      </c>
      <c r="D27" s="8">
        <v>6.54</v>
      </c>
      <c r="E27" s="12">
        <v>179</v>
      </c>
      <c r="F27" s="8">
        <v>2.95</v>
      </c>
      <c r="G27" s="12">
        <v>750</v>
      </c>
      <c r="H27" s="8">
        <v>9.2200000000000006</v>
      </c>
      <c r="I27" s="12">
        <v>0</v>
      </c>
    </row>
    <row r="28" spans="2:9" ht="15" customHeight="1" x14ac:dyDescent="0.2">
      <c r="B28" t="s">
        <v>98</v>
      </c>
      <c r="C28" s="12">
        <v>703</v>
      </c>
      <c r="D28" s="8">
        <v>4.95</v>
      </c>
      <c r="E28" s="12">
        <v>343</v>
      </c>
      <c r="F28" s="8">
        <v>5.66</v>
      </c>
      <c r="G28" s="12">
        <v>359</v>
      </c>
      <c r="H28" s="8">
        <v>4.41</v>
      </c>
      <c r="I28" s="12">
        <v>1</v>
      </c>
    </row>
    <row r="29" spans="2:9" ht="15" customHeight="1" x14ac:dyDescent="0.2">
      <c r="B29" t="s">
        <v>90</v>
      </c>
      <c r="C29" s="12">
        <v>639</v>
      </c>
      <c r="D29" s="8">
        <v>4.5</v>
      </c>
      <c r="E29" s="12">
        <v>87</v>
      </c>
      <c r="F29" s="8">
        <v>1.43</v>
      </c>
      <c r="G29" s="12">
        <v>551</v>
      </c>
      <c r="H29" s="8">
        <v>6.77</v>
      </c>
      <c r="I29" s="12">
        <v>1</v>
      </c>
    </row>
    <row r="30" spans="2:9" ht="15" customHeight="1" x14ac:dyDescent="0.2">
      <c r="B30" t="s">
        <v>88</v>
      </c>
      <c r="C30" s="12">
        <v>596</v>
      </c>
      <c r="D30" s="8">
        <v>4.1900000000000004</v>
      </c>
      <c r="E30" s="12">
        <v>71</v>
      </c>
      <c r="F30" s="8">
        <v>1.17</v>
      </c>
      <c r="G30" s="12">
        <v>525</v>
      </c>
      <c r="H30" s="8">
        <v>6.46</v>
      </c>
      <c r="I30" s="12">
        <v>0</v>
      </c>
    </row>
    <row r="31" spans="2:9" ht="15" customHeight="1" x14ac:dyDescent="0.2">
      <c r="B31" t="s">
        <v>96</v>
      </c>
      <c r="C31" s="12">
        <v>551</v>
      </c>
      <c r="D31" s="8">
        <v>3.88</v>
      </c>
      <c r="E31" s="12">
        <v>400</v>
      </c>
      <c r="F31" s="8">
        <v>6.6</v>
      </c>
      <c r="G31" s="12">
        <v>151</v>
      </c>
      <c r="H31" s="8">
        <v>1.86</v>
      </c>
      <c r="I31" s="12">
        <v>0</v>
      </c>
    </row>
    <row r="32" spans="2:9" ht="15" customHeight="1" x14ac:dyDescent="0.2">
      <c r="B32" t="s">
        <v>106</v>
      </c>
      <c r="C32" s="12">
        <v>456</v>
      </c>
      <c r="D32" s="8">
        <v>3.21</v>
      </c>
      <c r="E32" s="12">
        <v>369</v>
      </c>
      <c r="F32" s="8">
        <v>6.09</v>
      </c>
      <c r="G32" s="12">
        <v>87</v>
      </c>
      <c r="H32" s="8">
        <v>1.07</v>
      </c>
      <c r="I32" s="12">
        <v>0</v>
      </c>
    </row>
    <row r="33" spans="2:9" ht="15" customHeight="1" x14ac:dyDescent="0.2">
      <c r="B33" t="s">
        <v>119</v>
      </c>
      <c r="C33" s="12">
        <v>378</v>
      </c>
      <c r="D33" s="8">
        <v>2.66</v>
      </c>
      <c r="E33" s="12">
        <v>114</v>
      </c>
      <c r="F33" s="8">
        <v>1.88</v>
      </c>
      <c r="G33" s="12">
        <v>264</v>
      </c>
      <c r="H33" s="8">
        <v>3.25</v>
      </c>
      <c r="I33" s="12">
        <v>0</v>
      </c>
    </row>
    <row r="34" spans="2:9" ht="15" customHeight="1" x14ac:dyDescent="0.2">
      <c r="B34" t="s">
        <v>123</v>
      </c>
      <c r="C34" s="12">
        <v>375</v>
      </c>
      <c r="D34" s="8">
        <v>2.64</v>
      </c>
      <c r="E34" s="12">
        <v>365</v>
      </c>
      <c r="F34" s="8">
        <v>6.02</v>
      </c>
      <c r="G34" s="12">
        <v>10</v>
      </c>
      <c r="H34" s="8">
        <v>0.12</v>
      </c>
      <c r="I34" s="12">
        <v>0</v>
      </c>
    </row>
    <row r="35" spans="2:9" ht="15" customHeight="1" x14ac:dyDescent="0.2">
      <c r="B35" t="s">
        <v>101</v>
      </c>
      <c r="C35" s="12">
        <v>371</v>
      </c>
      <c r="D35" s="8">
        <v>2.61</v>
      </c>
      <c r="E35" s="12">
        <v>196</v>
      </c>
      <c r="F35" s="8">
        <v>3.23</v>
      </c>
      <c r="G35" s="12">
        <v>175</v>
      </c>
      <c r="H35" s="8">
        <v>2.15</v>
      </c>
      <c r="I35" s="12">
        <v>0</v>
      </c>
    </row>
    <row r="36" spans="2:9" ht="15" customHeight="1" x14ac:dyDescent="0.2">
      <c r="B36" t="s">
        <v>97</v>
      </c>
      <c r="C36" s="12">
        <v>339</v>
      </c>
      <c r="D36" s="8">
        <v>2.39</v>
      </c>
      <c r="E36" s="12">
        <v>139</v>
      </c>
      <c r="F36" s="8">
        <v>2.29</v>
      </c>
      <c r="G36" s="12">
        <v>200</v>
      </c>
      <c r="H36" s="8">
        <v>2.46</v>
      </c>
      <c r="I36" s="12">
        <v>0</v>
      </c>
    </row>
    <row r="37" spans="2:9" ht="15" customHeight="1" x14ac:dyDescent="0.2">
      <c r="B37" t="s">
        <v>105</v>
      </c>
      <c r="C37" s="12">
        <v>282</v>
      </c>
      <c r="D37" s="8">
        <v>1.98</v>
      </c>
      <c r="E37" s="12">
        <v>193</v>
      </c>
      <c r="F37" s="8">
        <v>3.18</v>
      </c>
      <c r="G37" s="12">
        <v>88</v>
      </c>
      <c r="H37" s="8">
        <v>1.08</v>
      </c>
      <c r="I37" s="12">
        <v>0</v>
      </c>
    </row>
    <row r="38" spans="2:9" ht="15" customHeight="1" x14ac:dyDescent="0.2">
      <c r="B38" t="s">
        <v>94</v>
      </c>
      <c r="C38" s="12">
        <v>254</v>
      </c>
      <c r="D38" s="8">
        <v>1.79</v>
      </c>
      <c r="E38" s="12">
        <v>37</v>
      </c>
      <c r="F38" s="8">
        <v>0.61</v>
      </c>
      <c r="G38" s="12">
        <v>217</v>
      </c>
      <c r="H38" s="8">
        <v>2.67</v>
      </c>
      <c r="I38" s="12">
        <v>0</v>
      </c>
    </row>
    <row r="39" spans="2:9" ht="15" customHeight="1" x14ac:dyDescent="0.2">
      <c r="B39" t="s">
        <v>110</v>
      </c>
      <c r="C39" s="12">
        <v>250</v>
      </c>
      <c r="D39" s="8">
        <v>1.76</v>
      </c>
      <c r="E39" s="12">
        <v>51</v>
      </c>
      <c r="F39" s="8">
        <v>0.84</v>
      </c>
      <c r="G39" s="12">
        <v>199</v>
      </c>
      <c r="H39" s="8">
        <v>2.4500000000000002</v>
      </c>
      <c r="I39" s="12">
        <v>0</v>
      </c>
    </row>
    <row r="40" spans="2:9" ht="15" customHeight="1" x14ac:dyDescent="0.2">
      <c r="B40" t="s">
        <v>95</v>
      </c>
      <c r="C40" s="12">
        <v>247</v>
      </c>
      <c r="D40" s="8">
        <v>1.74</v>
      </c>
      <c r="E40" s="12">
        <v>107</v>
      </c>
      <c r="F40" s="8">
        <v>1.76</v>
      </c>
      <c r="G40" s="12">
        <v>140</v>
      </c>
      <c r="H40" s="8">
        <v>1.72</v>
      </c>
      <c r="I40" s="12">
        <v>0</v>
      </c>
    </row>
    <row r="41" spans="2:9" ht="15" customHeight="1" x14ac:dyDescent="0.2">
      <c r="B41" t="s">
        <v>99</v>
      </c>
      <c r="C41" s="12">
        <v>227</v>
      </c>
      <c r="D41" s="8">
        <v>1.6</v>
      </c>
      <c r="E41" s="12">
        <v>21</v>
      </c>
      <c r="F41" s="8">
        <v>0.35</v>
      </c>
      <c r="G41" s="12">
        <v>206</v>
      </c>
      <c r="H41" s="8">
        <v>2.5299999999999998</v>
      </c>
      <c r="I41" s="12">
        <v>0</v>
      </c>
    </row>
    <row r="42" spans="2:9" ht="15" customHeight="1" x14ac:dyDescent="0.2">
      <c r="B42" t="s">
        <v>116</v>
      </c>
      <c r="C42" s="12">
        <v>220</v>
      </c>
      <c r="D42" s="8">
        <v>1.55</v>
      </c>
      <c r="E42" s="12">
        <v>118</v>
      </c>
      <c r="F42" s="8">
        <v>1.95</v>
      </c>
      <c r="G42" s="12">
        <v>102</v>
      </c>
      <c r="H42" s="8">
        <v>1.25</v>
      </c>
      <c r="I42" s="12">
        <v>0</v>
      </c>
    </row>
    <row r="43" spans="2:9" ht="15" customHeight="1" x14ac:dyDescent="0.2">
      <c r="B43" t="s">
        <v>93</v>
      </c>
      <c r="C43" s="12">
        <v>216</v>
      </c>
      <c r="D43" s="8">
        <v>1.52</v>
      </c>
      <c r="E43" s="12">
        <v>18</v>
      </c>
      <c r="F43" s="8">
        <v>0.3</v>
      </c>
      <c r="G43" s="12">
        <v>198</v>
      </c>
      <c r="H43" s="8">
        <v>2.4300000000000002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730</v>
      </c>
      <c r="D47" s="8">
        <v>5.14</v>
      </c>
      <c r="E47" s="12">
        <v>343</v>
      </c>
      <c r="F47" s="8">
        <v>5.66</v>
      </c>
      <c r="G47" s="12">
        <v>387</v>
      </c>
      <c r="H47" s="8">
        <v>4.76</v>
      </c>
      <c r="I47" s="12">
        <v>0</v>
      </c>
    </row>
    <row r="48" spans="2:9" ht="15" customHeight="1" x14ac:dyDescent="0.2">
      <c r="B48" t="s">
        <v>172</v>
      </c>
      <c r="C48" s="12">
        <v>472</v>
      </c>
      <c r="D48" s="8">
        <v>3.32</v>
      </c>
      <c r="E48" s="12">
        <v>389</v>
      </c>
      <c r="F48" s="8">
        <v>6.42</v>
      </c>
      <c r="G48" s="12">
        <v>83</v>
      </c>
      <c r="H48" s="8">
        <v>1.02</v>
      </c>
      <c r="I48" s="12">
        <v>0</v>
      </c>
    </row>
    <row r="49" spans="2:9" ht="15" customHeight="1" x14ac:dyDescent="0.2">
      <c r="B49" t="s">
        <v>169</v>
      </c>
      <c r="C49" s="12">
        <v>424</v>
      </c>
      <c r="D49" s="8">
        <v>2.98</v>
      </c>
      <c r="E49" s="12">
        <v>377</v>
      </c>
      <c r="F49" s="8">
        <v>6.22</v>
      </c>
      <c r="G49" s="12">
        <v>47</v>
      </c>
      <c r="H49" s="8">
        <v>0.57999999999999996</v>
      </c>
      <c r="I49" s="12">
        <v>0</v>
      </c>
    </row>
    <row r="50" spans="2:9" ht="15" customHeight="1" x14ac:dyDescent="0.2">
      <c r="B50" t="s">
        <v>207</v>
      </c>
      <c r="C50" s="12">
        <v>371</v>
      </c>
      <c r="D50" s="8">
        <v>2.61</v>
      </c>
      <c r="E50" s="12">
        <v>365</v>
      </c>
      <c r="F50" s="8">
        <v>6.02</v>
      </c>
      <c r="G50" s="12">
        <v>6</v>
      </c>
      <c r="H50" s="8">
        <v>7.0000000000000007E-2</v>
      </c>
      <c r="I50" s="12">
        <v>0</v>
      </c>
    </row>
    <row r="51" spans="2:9" ht="15" customHeight="1" x14ac:dyDescent="0.2">
      <c r="B51" t="s">
        <v>168</v>
      </c>
      <c r="C51" s="12">
        <v>370</v>
      </c>
      <c r="D51" s="8">
        <v>2.6</v>
      </c>
      <c r="E51" s="12">
        <v>284</v>
      </c>
      <c r="F51" s="8">
        <v>4.68</v>
      </c>
      <c r="G51" s="12">
        <v>85</v>
      </c>
      <c r="H51" s="8">
        <v>1.05</v>
      </c>
      <c r="I51" s="12">
        <v>1</v>
      </c>
    </row>
    <row r="52" spans="2:9" ht="15" customHeight="1" x14ac:dyDescent="0.2">
      <c r="B52" t="s">
        <v>171</v>
      </c>
      <c r="C52" s="12">
        <v>360</v>
      </c>
      <c r="D52" s="8">
        <v>2.5299999999999998</v>
      </c>
      <c r="E52" s="12">
        <v>328</v>
      </c>
      <c r="F52" s="8">
        <v>5.41</v>
      </c>
      <c r="G52" s="12">
        <v>32</v>
      </c>
      <c r="H52" s="8">
        <v>0.39</v>
      </c>
      <c r="I52" s="12">
        <v>0</v>
      </c>
    </row>
    <row r="53" spans="2:9" ht="15" customHeight="1" x14ac:dyDescent="0.2">
      <c r="B53" t="s">
        <v>175</v>
      </c>
      <c r="C53" s="12">
        <v>284</v>
      </c>
      <c r="D53" s="8">
        <v>2</v>
      </c>
      <c r="E53" s="12">
        <v>227</v>
      </c>
      <c r="F53" s="8">
        <v>3.74</v>
      </c>
      <c r="G53" s="12">
        <v>57</v>
      </c>
      <c r="H53" s="8">
        <v>0.7</v>
      </c>
      <c r="I53" s="12">
        <v>0</v>
      </c>
    </row>
    <row r="54" spans="2:9" ht="15" customHeight="1" x14ac:dyDescent="0.2">
      <c r="B54" t="s">
        <v>163</v>
      </c>
      <c r="C54" s="12">
        <v>266</v>
      </c>
      <c r="D54" s="8">
        <v>1.87</v>
      </c>
      <c r="E54" s="12">
        <v>13</v>
      </c>
      <c r="F54" s="8">
        <v>0.21</v>
      </c>
      <c r="G54" s="12">
        <v>253</v>
      </c>
      <c r="H54" s="8">
        <v>3.11</v>
      </c>
      <c r="I54" s="12">
        <v>0</v>
      </c>
    </row>
    <row r="55" spans="2:9" ht="15" customHeight="1" x14ac:dyDescent="0.2">
      <c r="B55" t="s">
        <v>201</v>
      </c>
      <c r="C55" s="12">
        <v>261</v>
      </c>
      <c r="D55" s="8">
        <v>1.84</v>
      </c>
      <c r="E55" s="12">
        <v>42</v>
      </c>
      <c r="F55" s="8">
        <v>0.69</v>
      </c>
      <c r="G55" s="12">
        <v>219</v>
      </c>
      <c r="H55" s="8">
        <v>2.69</v>
      </c>
      <c r="I55" s="12">
        <v>0</v>
      </c>
    </row>
    <row r="56" spans="2:9" ht="15" customHeight="1" x14ac:dyDescent="0.2">
      <c r="B56" t="s">
        <v>195</v>
      </c>
      <c r="C56" s="12">
        <v>253</v>
      </c>
      <c r="D56" s="8">
        <v>1.78</v>
      </c>
      <c r="E56" s="12">
        <v>46</v>
      </c>
      <c r="F56" s="8">
        <v>0.76</v>
      </c>
      <c r="G56" s="12">
        <v>207</v>
      </c>
      <c r="H56" s="8">
        <v>2.5499999999999998</v>
      </c>
      <c r="I56" s="12">
        <v>0</v>
      </c>
    </row>
    <row r="57" spans="2:9" ht="15" customHeight="1" x14ac:dyDescent="0.2">
      <c r="B57" t="s">
        <v>192</v>
      </c>
      <c r="C57" s="12">
        <v>236</v>
      </c>
      <c r="D57" s="8">
        <v>1.66</v>
      </c>
      <c r="E57" s="12">
        <v>41</v>
      </c>
      <c r="F57" s="8">
        <v>0.68</v>
      </c>
      <c r="G57" s="12">
        <v>194</v>
      </c>
      <c r="H57" s="8">
        <v>2.39</v>
      </c>
      <c r="I57" s="12">
        <v>1</v>
      </c>
    </row>
    <row r="58" spans="2:9" ht="15" customHeight="1" x14ac:dyDescent="0.2">
      <c r="B58" t="s">
        <v>159</v>
      </c>
      <c r="C58" s="12">
        <v>234</v>
      </c>
      <c r="D58" s="8">
        <v>1.65</v>
      </c>
      <c r="E58" s="12">
        <v>143</v>
      </c>
      <c r="F58" s="8">
        <v>2.36</v>
      </c>
      <c r="G58" s="12">
        <v>91</v>
      </c>
      <c r="H58" s="8">
        <v>1.1200000000000001</v>
      </c>
      <c r="I58" s="12">
        <v>0</v>
      </c>
    </row>
    <row r="59" spans="2:9" ht="15" customHeight="1" x14ac:dyDescent="0.2">
      <c r="B59" t="s">
        <v>158</v>
      </c>
      <c r="C59" s="12">
        <v>222</v>
      </c>
      <c r="D59" s="8">
        <v>1.56</v>
      </c>
      <c r="E59" s="12">
        <v>167</v>
      </c>
      <c r="F59" s="8">
        <v>2.75</v>
      </c>
      <c r="G59" s="12">
        <v>55</v>
      </c>
      <c r="H59" s="8">
        <v>0.68</v>
      </c>
      <c r="I59" s="12">
        <v>0</v>
      </c>
    </row>
    <row r="60" spans="2:9" ht="15" customHeight="1" x14ac:dyDescent="0.2">
      <c r="B60" t="s">
        <v>161</v>
      </c>
      <c r="C60" s="12">
        <v>213</v>
      </c>
      <c r="D60" s="8">
        <v>1.5</v>
      </c>
      <c r="E60" s="12">
        <v>40</v>
      </c>
      <c r="F60" s="8">
        <v>0.66</v>
      </c>
      <c r="G60" s="12">
        <v>173</v>
      </c>
      <c r="H60" s="8">
        <v>2.13</v>
      </c>
      <c r="I60" s="12">
        <v>0</v>
      </c>
    </row>
    <row r="61" spans="2:9" ht="15" customHeight="1" x14ac:dyDescent="0.2">
      <c r="B61" t="s">
        <v>208</v>
      </c>
      <c r="C61" s="12">
        <v>207</v>
      </c>
      <c r="D61" s="8">
        <v>1.46</v>
      </c>
      <c r="E61" s="12">
        <v>29</v>
      </c>
      <c r="F61" s="8">
        <v>0.48</v>
      </c>
      <c r="G61" s="12">
        <v>178</v>
      </c>
      <c r="H61" s="8">
        <v>2.19</v>
      </c>
      <c r="I61" s="12">
        <v>0</v>
      </c>
    </row>
    <row r="62" spans="2:9" ht="15" customHeight="1" x14ac:dyDescent="0.2">
      <c r="B62" t="s">
        <v>206</v>
      </c>
      <c r="C62" s="12">
        <v>182</v>
      </c>
      <c r="D62" s="8">
        <v>1.28</v>
      </c>
      <c r="E62" s="12">
        <v>19</v>
      </c>
      <c r="F62" s="8">
        <v>0.31</v>
      </c>
      <c r="G62" s="12">
        <v>163</v>
      </c>
      <c r="H62" s="8">
        <v>2</v>
      </c>
      <c r="I62" s="12">
        <v>0</v>
      </c>
    </row>
    <row r="63" spans="2:9" ht="15" customHeight="1" x14ac:dyDescent="0.2">
      <c r="B63" t="s">
        <v>200</v>
      </c>
      <c r="C63" s="12">
        <v>180</v>
      </c>
      <c r="D63" s="8">
        <v>1.27</v>
      </c>
      <c r="E63" s="12">
        <v>18</v>
      </c>
      <c r="F63" s="8">
        <v>0.3</v>
      </c>
      <c r="G63" s="12">
        <v>162</v>
      </c>
      <c r="H63" s="8">
        <v>1.99</v>
      </c>
      <c r="I63" s="12">
        <v>0</v>
      </c>
    </row>
    <row r="64" spans="2:9" ht="15" customHeight="1" x14ac:dyDescent="0.2">
      <c r="B64" t="s">
        <v>198</v>
      </c>
      <c r="C64" s="12">
        <v>178</v>
      </c>
      <c r="D64" s="8">
        <v>1.25</v>
      </c>
      <c r="E64" s="12">
        <v>39</v>
      </c>
      <c r="F64" s="8">
        <v>0.64</v>
      </c>
      <c r="G64" s="12">
        <v>138</v>
      </c>
      <c r="H64" s="8">
        <v>1.7</v>
      </c>
      <c r="I64" s="12">
        <v>1</v>
      </c>
    </row>
    <row r="65" spans="2:9" ht="15" customHeight="1" x14ac:dyDescent="0.2">
      <c r="B65" t="s">
        <v>160</v>
      </c>
      <c r="C65" s="12">
        <v>178</v>
      </c>
      <c r="D65" s="8">
        <v>1.25</v>
      </c>
      <c r="E65" s="12">
        <v>19</v>
      </c>
      <c r="F65" s="8">
        <v>0.31</v>
      </c>
      <c r="G65" s="12">
        <v>159</v>
      </c>
      <c r="H65" s="8">
        <v>1.95</v>
      </c>
      <c r="I65" s="12">
        <v>0</v>
      </c>
    </row>
    <row r="66" spans="2:9" ht="15" customHeight="1" x14ac:dyDescent="0.2">
      <c r="B66" t="s">
        <v>173</v>
      </c>
      <c r="C66" s="12">
        <v>176</v>
      </c>
      <c r="D66" s="8">
        <v>1.24</v>
      </c>
      <c r="E66" s="12">
        <v>130</v>
      </c>
      <c r="F66" s="8">
        <v>2.14</v>
      </c>
      <c r="G66" s="12">
        <v>46</v>
      </c>
      <c r="H66" s="8">
        <v>0.56999999999999995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13BB-499C-4B34-ABBF-865685EBCE3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66</v>
      </c>
      <c r="C6" s="12">
        <v>1072</v>
      </c>
      <c r="D6" s="8">
        <v>10.62</v>
      </c>
      <c r="E6" s="12">
        <v>133</v>
      </c>
      <c r="F6" s="8">
        <v>3.07</v>
      </c>
      <c r="G6" s="12">
        <v>939</v>
      </c>
      <c r="H6" s="8">
        <v>16.399999999999999</v>
      </c>
      <c r="I6" s="12">
        <v>0</v>
      </c>
    </row>
    <row r="7" spans="2:9" ht="15" customHeight="1" x14ac:dyDescent="0.2">
      <c r="B7" t="s">
        <v>67</v>
      </c>
      <c r="C7" s="12">
        <v>1963</v>
      </c>
      <c r="D7" s="8">
        <v>19.45</v>
      </c>
      <c r="E7" s="12">
        <v>661</v>
      </c>
      <c r="F7" s="8">
        <v>15.23</v>
      </c>
      <c r="G7" s="12">
        <v>1302</v>
      </c>
      <c r="H7" s="8">
        <v>22.73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0.03</v>
      </c>
      <c r="E8" s="12">
        <v>0</v>
      </c>
      <c r="F8" s="8">
        <v>0</v>
      </c>
      <c r="G8" s="12">
        <v>3</v>
      </c>
      <c r="H8" s="8">
        <v>0.05</v>
      </c>
      <c r="I8" s="12">
        <v>0</v>
      </c>
    </row>
    <row r="9" spans="2:9" ht="15" customHeight="1" x14ac:dyDescent="0.2">
      <c r="B9" t="s">
        <v>69</v>
      </c>
      <c r="C9" s="12">
        <v>107</v>
      </c>
      <c r="D9" s="8">
        <v>1.06</v>
      </c>
      <c r="E9" s="12">
        <v>1</v>
      </c>
      <c r="F9" s="8">
        <v>0.02</v>
      </c>
      <c r="G9" s="12">
        <v>106</v>
      </c>
      <c r="H9" s="8">
        <v>1.85</v>
      </c>
      <c r="I9" s="12">
        <v>0</v>
      </c>
    </row>
    <row r="10" spans="2:9" ht="15" customHeight="1" x14ac:dyDescent="0.2">
      <c r="B10" t="s">
        <v>70</v>
      </c>
      <c r="C10" s="12">
        <v>155</v>
      </c>
      <c r="D10" s="8">
        <v>1.54</v>
      </c>
      <c r="E10" s="12">
        <v>94</v>
      </c>
      <c r="F10" s="8">
        <v>2.17</v>
      </c>
      <c r="G10" s="12">
        <v>61</v>
      </c>
      <c r="H10" s="8">
        <v>1.07</v>
      </c>
      <c r="I10" s="12">
        <v>0</v>
      </c>
    </row>
    <row r="11" spans="2:9" ht="15" customHeight="1" x14ac:dyDescent="0.2">
      <c r="B11" t="s">
        <v>71</v>
      </c>
      <c r="C11" s="12">
        <v>1974</v>
      </c>
      <c r="D11" s="8">
        <v>19.559999999999999</v>
      </c>
      <c r="E11" s="12">
        <v>729</v>
      </c>
      <c r="F11" s="8">
        <v>16.8</v>
      </c>
      <c r="G11" s="12">
        <v>1244</v>
      </c>
      <c r="H11" s="8">
        <v>21.72</v>
      </c>
      <c r="I11" s="12">
        <v>1</v>
      </c>
    </row>
    <row r="12" spans="2:9" ht="15" customHeight="1" x14ac:dyDescent="0.2">
      <c r="B12" t="s">
        <v>72</v>
      </c>
      <c r="C12" s="12">
        <v>37</v>
      </c>
      <c r="D12" s="8">
        <v>0.37</v>
      </c>
      <c r="E12" s="12">
        <v>4</v>
      </c>
      <c r="F12" s="8">
        <v>0.09</v>
      </c>
      <c r="G12" s="12">
        <v>33</v>
      </c>
      <c r="H12" s="8">
        <v>0.57999999999999996</v>
      </c>
      <c r="I12" s="12">
        <v>0</v>
      </c>
    </row>
    <row r="13" spans="2:9" ht="15" customHeight="1" x14ac:dyDescent="0.2">
      <c r="B13" t="s">
        <v>73</v>
      </c>
      <c r="C13" s="12">
        <v>1324</v>
      </c>
      <c r="D13" s="8">
        <v>13.12</v>
      </c>
      <c r="E13" s="12">
        <v>499</v>
      </c>
      <c r="F13" s="8">
        <v>11.5</v>
      </c>
      <c r="G13" s="12">
        <v>823</v>
      </c>
      <c r="H13" s="8">
        <v>14.37</v>
      </c>
      <c r="I13" s="12">
        <v>2</v>
      </c>
    </row>
    <row r="14" spans="2:9" ht="15" customHeight="1" x14ac:dyDescent="0.2">
      <c r="B14" t="s">
        <v>74</v>
      </c>
      <c r="C14" s="12">
        <v>421</v>
      </c>
      <c r="D14" s="8">
        <v>4.17</v>
      </c>
      <c r="E14" s="12">
        <v>159</v>
      </c>
      <c r="F14" s="8">
        <v>3.66</v>
      </c>
      <c r="G14" s="12">
        <v>260</v>
      </c>
      <c r="H14" s="8">
        <v>4.54</v>
      </c>
      <c r="I14" s="12">
        <v>0</v>
      </c>
    </row>
    <row r="15" spans="2:9" ht="15" customHeight="1" x14ac:dyDescent="0.2">
      <c r="B15" t="s">
        <v>75</v>
      </c>
      <c r="C15" s="12">
        <v>1124</v>
      </c>
      <c r="D15" s="8">
        <v>11.14</v>
      </c>
      <c r="E15" s="12">
        <v>897</v>
      </c>
      <c r="F15" s="8">
        <v>20.67</v>
      </c>
      <c r="G15" s="12">
        <v>227</v>
      </c>
      <c r="H15" s="8">
        <v>3.96</v>
      </c>
      <c r="I15" s="12">
        <v>0</v>
      </c>
    </row>
    <row r="16" spans="2:9" ht="15" customHeight="1" x14ac:dyDescent="0.2">
      <c r="B16" t="s">
        <v>76</v>
      </c>
      <c r="C16" s="12">
        <v>986</v>
      </c>
      <c r="D16" s="8">
        <v>9.77</v>
      </c>
      <c r="E16" s="12">
        <v>707</v>
      </c>
      <c r="F16" s="8">
        <v>16.29</v>
      </c>
      <c r="G16" s="12">
        <v>277</v>
      </c>
      <c r="H16" s="8">
        <v>4.84</v>
      </c>
      <c r="I16" s="12">
        <v>1</v>
      </c>
    </row>
    <row r="17" spans="2:9" ht="15" customHeight="1" x14ac:dyDescent="0.2">
      <c r="B17" t="s">
        <v>77</v>
      </c>
      <c r="C17" s="12">
        <v>220</v>
      </c>
      <c r="D17" s="8">
        <v>2.1800000000000002</v>
      </c>
      <c r="E17" s="12">
        <v>138</v>
      </c>
      <c r="F17" s="8">
        <v>3.18</v>
      </c>
      <c r="G17" s="12">
        <v>81</v>
      </c>
      <c r="H17" s="8">
        <v>1.41</v>
      </c>
      <c r="I17" s="12">
        <v>1</v>
      </c>
    </row>
    <row r="18" spans="2:9" ht="15" customHeight="1" x14ac:dyDescent="0.2">
      <c r="B18" t="s">
        <v>78</v>
      </c>
      <c r="C18" s="12">
        <v>472</v>
      </c>
      <c r="D18" s="8">
        <v>4.68</v>
      </c>
      <c r="E18" s="12">
        <v>270</v>
      </c>
      <c r="F18" s="8">
        <v>6.22</v>
      </c>
      <c r="G18" s="12">
        <v>184</v>
      </c>
      <c r="H18" s="8">
        <v>3.21</v>
      </c>
      <c r="I18" s="12">
        <v>0</v>
      </c>
    </row>
    <row r="19" spans="2:9" ht="15" customHeight="1" x14ac:dyDescent="0.2">
      <c r="B19" t="s">
        <v>79</v>
      </c>
      <c r="C19" s="12">
        <v>235</v>
      </c>
      <c r="D19" s="8">
        <v>2.33</v>
      </c>
      <c r="E19" s="12">
        <v>47</v>
      </c>
      <c r="F19" s="8">
        <v>1.08</v>
      </c>
      <c r="G19" s="12">
        <v>186</v>
      </c>
      <c r="H19" s="8">
        <v>3.25</v>
      </c>
      <c r="I19" s="12">
        <v>2</v>
      </c>
    </row>
    <row r="20" spans="2:9" ht="15" customHeight="1" x14ac:dyDescent="0.2">
      <c r="B20" s="9" t="s">
        <v>280</v>
      </c>
      <c r="C20" s="12">
        <f>SUM(LTBL_13122[総数／事業所数])</f>
        <v>10094</v>
      </c>
      <c r="E20" s="12">
        <f>SUBTOTAL(109,LTBL_13122[個人／事業所数])</f>
        <v>4339</v>
      </c>
      <c r="G20" s="12">
        <f>SUBTOTAL(109,LTBL_13122[法人／事業所数])</f>
        <v>5727</v>
      </c>
      <c r="I20" s="12">
        <f>SUBTOTAL(109,LTBL_13122[法人以外の団体／事業所数])</f>
        <v>7</v>
      </c>
    </row>
    <row r="21" spans="2:9" ht="15" customHeight="1" x14ac:dyDescent="0.2">
      <c r="E21" s="11">
        <f>LTBL_13122[[#Totals],[個人／事業所数]]/LTBL_13122[[#Totals],[総数／事業所数]]</f>
        <v>0.42985932236972457</v>
      </c>
      <c r="G21" s="11">
        <f>LTBL_13122[[#Totals],[法人／事業所数]]/LTBL_13122[[#Totals],[総数／事業所数]]</f>
        <v>0.56736675252625324</v>
      </c>
      <c r="I21" s="11">
        <f>LTBL_13122[[#Totals],[法人以外の団体／事業所数]]/LTBL_13122[[#Totals],[総数／事業所数]]</f>
        <v>6.9348127600554787E-4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1116</v>
      </c>
      <c r="D24" s="8">
        <v>11.06</v>
      </c>
      <c r="E24" s="12">
        <v>477</v>
      </c>
      <c r="F24" s="8">
        <v>10.99</v>
      </c>
      <c r="G24" s="12">
        <v>637</v>
      </c>
      <c r="H24" s="8">
        <v>11.12</v>
      </c>
      <c r="I24" s="12">
        <v>2</v>
      </c>
    </row>
    <row r="25" spans="2:9" ht="15" customHeight="1" x14ac:dyDescent="0.2">
      <c r="B25" t="s">
        <v>103</v>
      </c>
      <c r="C25" s="12">
        <v>1049</v>
      </c>
      <c r="D25" s="8">
        <v>10.39</v>
      </c>
      <c r="E25" s="12">
        <v>876</v>
      </c>
      <c r="F25" s="8">
        <v>20.190000000000001</v>
      </c>
      <c r="G25" s="12">
        <v>173</v>
      </c>
      <c r="H25" s="8">
        <v>3.02</v>
      </c>
      <c r="I25" s="12">
        <v>0</v>
      </c>
    </row>
    <row r="26" spans="2:9" ht="15" customHeight="1" x14ac:dyDescent="0.2">
      <c r="B26" t="s">
        <v>104</v>
      </c>
      <c r="C26" s="12">
        <v>817</v>
      </c>
      <c r="D26" s="8">
        <v>8.09</v>
      </c>
      <c r="E26" s="12">
        <v>643</v>
      </c>
      <c r="F26" s="8">
        <v>14.82</v>
      </c>
      <c r="G26" s="12">
        <v>174</v>
      </c>
      <c r="H26" s="8">
        <v>3.04</v>
      </c>
      <c r="I26" s="12">
        <v>0</v>
      </c>
    </row>
    <row r="27" spans="2:9" ht="15" customHeight="1" x14ac:dyDescent="0.2">
      <c r="B27" t="s">
        <v>98</v>
      </c>
      <c r="C27" s="12">
        <v>519</v>
      </c>
      <c r="D27" s="8">
        <v>5.14</v>
      </c>
      <c r="E27" s="12">
        <v>233</v>
      </c>
      <c r="F27" s="8">
        <v>5.37</v>
      </c>
      <c r="G27" s="12">
        <v>286</v>
      </c>
      <c r="H27" s="8">
        <v>4.99</v>
      </c>
      <c r="I27" s="12">
        <v>0</v>
      </c>
    </row>
    <row r="28" spans="2:9" ht="15" customHeight="1" x14ac:dyDescent="0.2">
      <c r="B28" t="s">
        <v>119</v>
      </c>
      <c r="C28" s="12">
        <v>485</v>
      </c>
      <c r="D28" s="8">
        <v>4.8</v>
      </c>
      <c r="E28" s="12">
        <v>174</v>
      </c>
      <c r="F28" s="8">
        <v>4.01</v>
      </c>
      <c r="G28" s="12">
        <v>311</v>
      </c>
      <c r="H28" s="8">
        <v>5.43</v>
      </c>
      <c r="I28" s="12">
        <v>0</v>
      </c>
    </row>
    <row r="29" spans="2:9" ht="15" customHeight="1" x14ac:dyDescent="0.2">
      <c r="B29" t="s">
        <v>89</v>
      </c>
      <c r="C29" s="12">
        <v>423</v>
      </c>
      <c r="D29" s="8">
        <v>4.1900000000000004</v>
      </c>
      <c r="E29" s="12">
        <v>68</v>
      </c>
      <c r="F29" s="8">
        <v>1.57</v>
      </c>
      <c r="G29" s="12">
        <v>355</v>
      </c>
      <c r="H29" s="8">
        <v>6.2</v>
      </c>
      <c r="I29" s="12">
        <v>0</v>
      </c>
    </row>
    <row r="30" spans="2:9" ht="15" customHeight="1" x14ac:dyDescent="0.2">
      <c r="B30" t="s">
        <v>96</v>
      </c>
      <c r="C30" s="12">
        <v>420</v>
      </c>
      <c r="D30" s="8">
        <v>4.16</v>
      </c>
      <c r="E30" s="12">
        <v>269</v>
      </c>
      <c r="F30" s="8">
        <v>6.2</v>
      </c>
      <c r="G30" s="12">
        <v>151</v>
      </c>
      <c r="H30" s="8">
        <v>2.64</v>
      </c>
      <c r="I30" s="12">
        <v>0</v>
      </c>
    </row>
    <row r="31" spans="2:9" ht="15" customHeight="1" x14ac:dyDescent="0.2">
      <c r="B31" t="s">
        <v>106</v>
      </c>
      <c r="C31" s="12">
        <v>349</v>
      </c>
      <c r="D31" s="8">
        <v>3.46</v>
      </c>
      <c r="E31" s="12">
        <v>269</v>
      </c>
      <c r="F31" s="8">
        <v>6.2</v>
      </c>
      <c r="G31" s="12">
        <v>80</v>
      </c>
      <c r="H31" s="8">
        <v>1.4</v>
      </c>
      <c r="I31" s="12">
        <v>0</v>
      </c>
    </row>
    <row r="32" spans="2:9" ht="15" customHeight="1" x14ac:dyDescent="0.2">
      <c r="B32" t="s">
        <v>88</v>
      </c>
      <c r="C32" s="12">
        <v>328</v>
      </c>
      <c r="D32" s="8">
        <v>3.25</v>
      </c>
      <c r="E32" s="12">
        <v>33</v>
      </c>
      <c r="F32" s="8">
        <v>0.76</v>
      </c>
      <c r="G32" s="12">
        <v>295</v>
      </c>
      <c r="H32" s="8">
        <v>5.15</v>
      </c>
      <c r="I32" s="12">
        <v>0</v>
      </c>
    </row>
    <row r="33" spans="2:9" ht="15" customHeight="1" x14ac:dyDescent="0.2">
      <c r="B33" t="s">
        <v>90</v>
      </c>
      <c r="C33" s="12">
        <v>321</v>
      </c>
      <c r="D33" s="8">
        <v>3.18</v>
      </c>
      <c r="E33" s="12">
        <v>32</v>
      </c>
      <c r="F33" s="8">
        <v>0.74</v>
      </c>
      <c r="G33" s="12">
        <v>289</v>
      </c>
      <c r="H33" s="8">
        <v>5.05</v>
      </c>
      <c r="I33" s="12">
        <v>0</v>
      </c>
    </row>
    <row r="34" spans="2:9" ht="15" customHeight="1" x14ac:dyDescent="0.2">
      <c r="B34" t="s">
        <v>101</v>
      </c>
      <c r="C34" s="12">
        <v>255</v>
      </c>
      <c r="D34" s="8">
        <v>2.5299999999999998</v>
      </c>
      <c r="E34" s="12">
        <v>126</v>
      </c>
      <c r="F34" s="8">
        <v>2.9</v>
      </c>
      <c r="G34" s="12">
        <v>129</v>
      </c>
      <c r="H34" s="8">
        <v>2.25</v>
      </c>
      <c r="I34" s="12">
        <v>0</v>
      </c>
    </row>
    <row r="35" spans="2:9" ht="15" customHeight="1" x14ac:dyDescent="0.2">
      <c r="B35" t="s">
        <v>105</v>
      </c>
      <c r="C35" s="12">
        <v>220</v>
      </c>
      <c r="D35" s="8">
        <v>2.1800000000000002</v>
      </c>
      <c r="E35" s="12">
        <v>138</v>
      </c>
      <c r="F35" s="8">
        <v>3.18</v>
      </c>
      <c r="G35" s="12">
        <v>81</v>
      </c>
      <c r="H35" s="8">
        <v>1.41</v>
      </c>
      <c r="I35" s="12">
        <v>1</v>
      </c>
    </row>
    <row r="36" spans="2:9" ht="15" customHeight="1" x14ac:dyDescent="0.2">
      <c r="B36" t="s">
        <v>117</v>
      </c>
      <c r="C36" s="12">
        <v>205</v>
      </c>
      <c r="D36" s="8">
        <v>2.0299999999999998</v>
      </c>
      <c r="E36" s="12">
        <v>60</v>
      </c>
      <c r="F36" s="8">
        <v>1.38</v>
      </c>
      <c r="G36" s="12">
        <v>145</v>
      </c>
      <c r="H36" s="8">
        <v>2.5299999999999998</v>
      </c>
      <c r="I36" s="12">
        <v>0</v>
      </c>
    </row>
    <row r="37" spans="2:9" ht="15" customHeight="1" x14ac:dyDescent="0.2">
      <c r="B37" t="s">
        <v>95</v>
      </c>
      <c r="C37" s="12">
        <v>191</v>
      </c>
      <c r="D37" s="8">
        <v>1.89</v>
      </c>
      <c r="E37" s="12">
        <v>100</v>
      </c>
      <c r="F37" s="8">
        <v>2.2999999999999998</v>
      </c>
      <c r="G37" s="12">
        <v>90</v>
      </c>
      <c r="H37" s="8">
        <v>1.57</v>
      </c>
      <c r="I37" s="12">
        <v>1</v>
      </c>
    </row>
    <row r="38" spans="2:9" ht="15" customHeight="1" x14ac:dyDescent="0.2">
      <c r="B38" t="s">
        <v>94</v>
      </c>
      <c r="C38" s="12">
        <v>187</v>
      </c>
      <c r="D38" s="8">
        <v>1.85</v>
      </c>
      <c r="E38" s="12">
        <v>18</v>
      </c>
      <c r="F38" s="8">
        <v>0.41</v>
      </c>
      <c r="G38" s="12">
        <v>169</v>
      </c>
      <c r="H38" s="8">
        <v>2.95</v>
      </c>
      <c r="I38" s="12">
        <v>0</v>
      </c>
    </row>
    <row r="39" spans="2:9" ht="15" customHeight="1" x14ac:dyDescent="0.2">
      <c r="B39" t="s">
        <v>99</v>
      </c>
      <c r="C39" s="12">
        <v>180</v>
      </c>
      <c r="D39" s="8">
        <v>1.78</v>
      </c>
      <c r="E39" s="12">
        <v>20</v>
      </c>
      <c r="F39" s="8">
        <v>0.46</v>
      </c>
      <c r="G39" s="12">
        <v>160</v>
      </c>
      <c r="H39" s="8">
        <v>2.79</v>
      </c>
      <c r="I39" s="12">
        <v>0</v>
      </c>
    </row>
    <row r="40" spans="2:9" ht="15" customHeight="1" x14ac:dyDescent="0.2">
      <c r="B40" t="s">
        <v>97</v>
      </c>
      <c r="C40" s="12">
        <v>178</v>
      </c>
      <c r="D40" s="8">
        <v>1.76</v>
      </c>
      <c r="E40" s="12">
        <v>66</v>
      </c>
      <c r="F40" s="8">
        <v>1.52</v>
      </c>
      <c r="G40" s="12">
        <v>112</v>
      </c>
      <c r="H40" s="8">
        <v>1.96</v>
      </c>
      <c r="I40" s="12">
        <v>0</v>
      </c>
    </row>
    <row r="41" spans="2:9" ht="15" customHeight="1" x14ac:dyDescent="0.2">
      <c r="B41" t="s">
        <v>121</v>
      </c>
      <c r="C41" s="12">
        <v>168</v>
      </c>
      <c r="D41" s="8">
        <v>1.66</v>
      </c>
      <c r="E41" s="12">
        <v>28</v>
      </c>
      <c r="F41" s="8">
        <v>0.65</v>
      </c>
      <c r="G41" s="12">
        <v>140</v>
      </c>
      <c r="H41" s="8">
        <v>2.44</v>
      </c>
      <c r="I41" s="12">
        <v>0</v>
      </c>
    </row>
    <row r="42" spans="2:9" ht="15" customHeight="1" x14ac:dyDescent="0.2">
      <c r="B42" t="s">
        <v>124</v>
      </c>
      <c r="C42" s="12">
        <v>158</v>
      </c>
      <c r="D42" s="8">
        <v>1.57</v>
      </c>
      <c r="E42" s="12">
        <v>35</v>
      </c>
      <c r="F42" s="8">
        <v>0.81</v>
      </c>
      <c r="G42" s="12">
        <v>123</v>
      </c>
      <c r="H42" s="8">
        <v>2.15</v>
      </c>
      <c r="I42" s="12">
        <v>0</v>
      </c>
    </row>
    <row r="43" spans="2:9" ht="15" customHeight="1" x14ac:dyDescent="0.2">
      <c r="B43" t="s">
        <v>93</v>
      </c>
      <c r="C43" s="12">
        <v>151</v>
      </c>
      <c r="D43" s="8">
        <v>1.5</v>
      </c>
      <c r="E43" s="12">
        <v>10</v>
      </c>
      <c r="F43" s="8">
        <v>0.23</v>
      </c>
      <c r="G43" s="12">
        <v>141</v>
      </c>
      <c r="H43" s="8">
        <v>2.46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682</v>
      </c>
      <c r="D47" s="8">
        <v>6.76</v>
      </c>
      <c r="E47" s="12">
        <v>367</v>
      </c>
      <c r="F47" s="8">
        <v>8.4600000000000009</v>
      </c>
      <c r="G47" s="12">
        <v>315</v>
      </c>
      <c r="H47" s="8">
        <v>5.5</v>
      </c>
      <c r="I47" s="12">
        <v>0</v>
      </c>
    </row>
    <row r="48" spans="2:9" ht="15" customHeight="1" x14ac:dyDescent="0.2">
      <c r="B48" t="s">
        <v>169</v>
      </c>
      <c r="C48" s="12">
        <v>356</v>
      </c>
      <c r="D48" s="8">
        <v>3.53</v>
      </c>
      <c r="E48" s="12">
        <v>318</v>
      </c>
      <c r="F48" s="8">
        <v>7.33</v>
      </c>
      <c r="G48" s="12">
        <v>38</v>
      </c>
      <c r="H48" s="8">
        <v>0.66</v>
      </c>
      <c r="I48" s="12">
        <v>0</v>
      </c>
    </row>
    <row r="49" spans="2:9" ht="15" customHeight="1" x14ac:dyDescent="0.2">
      <c r="B49" t="s">
        <v>172</v>
      </c>
      <c r="C49" s="12">
        <v>342</v>
      </c>
      <c r="D49" s="8">
        <v>3.39</v>
      </c>
      <c r="E49" s="12">
        <v>279</v>
      </c>
      <c r="F49" s="8">
        <v>6.43</v>
      </c>
      <c r="G49" s="12">
        <v>63</v>
      </c>
      <c r="H49" s="8">
        <v>1.1000000000000001</v>
      </c>
      <c r="I49" s="12">
        <v>0</v>
      </c>
    </row>
    <row r="50" spans="2:9" ht="15" customHeight="1" x14ac:dyDescent="0.2">
      <c r="B50" t="s">
        <v>168</v>
      </c>
      <c r="C50" s="12">
        <v>283</v>
      </c>
      <c r="D50" s="8">
        <v>2.8</v>
      </c>
      <c r="E50" s="12">
        <v>225</v>
      </c>
      <c r="F50" s="8">
        <v>5.19</v>
      </c>
      <c r="G50" s="12">
        <v>58</v>
      </c>
      <c r="H50" s="8">
        <v>1.01</v>
      </c>
      <c r="I50" s="12">
        <v>0</v>
      </c>
    </row>
    <row r="51" spans="2:9" ht="15" customHeight="1" x14ac:dyDescent="0.2">
      <c r="B51" t="s">
        <v>171</v>
      </c>
      <c r="C51" s="12">
        <v>232</v>
      </c>
      <c r="D51" s="8">
        <v>2.2999999999999998</v>
      </c>
      <c r="E51" s="12">
        <v>218</v>
      </c>
      <c r="F51" s="8">
        <v>5.0199999999999996</v>
      </c>
      <c r="G51" s="12">
        <v>14</v>
      </c>
      <c r="H51" s="8">
        <v>0.24</v>
      </c>
      <c r="I51" s="12">
        <v>0</v>
      </c>
    </row>
    <row r="52" spans="2:9" ht="15" customHeight="1" x14ac:dyDescent="0.2">
      <c r="B52" t="s">
        <v>175</v>
      </c>
      <c r="C52" s="12">
        <v>226</v>
      </c>
      <c r="D52" s="8">
        <v>2.2400000000000002</v>
      </c>
      <c r="E52" s="12">
        <v>166</v>
      </c>
      <c r="F52" s="8">
        <v>3.83</v>
      </c>
      <c r="G52" s="12">
        <v>60</v>
      </c>
      <c r="H52" s="8">
        <v>1.05</v>
      </c>
      <c r="I52" s="12">
        <v>0</v>
      </c>
    </row>
    <row r="53" spans="2:9" ht="15" customHeight="1" x14ac:dyDescent="0.2">
      <c r="B53" t="s">
        <v>163</v>
      </c>
      <c r="C53" s="12">
        <v>196</v>
      </c>
      <c r="D53" s="8">
        <v>1.94</v>
      </c>
      <c r="E53" s="12">
        <v>10</v>
      </c>
      <c r="F53" s="8">
        <v>0.23</v>
      </c>
      <c r="G53" s="12">
        <v>184</v>
      </c>
      <c r="H53" s="8">
        <v>3.21</v>
      </c>
      <c r="I53" s="12">
        <v>2</v>
      </c>
    </row>
    <row r="54" spans="2:9" ht="15" customHeight="1" x14ac:dyDescent="0.2">
      <c r="B54" t="s">
        <v>158</v>
      </c>
      <c r="C54" s="12">
        <v>176</v>
      </c>
      <c r="D54" s="8">
        <v>1.74</v>
      </c>
      <c r="E54" s="12">
        <v>118</v>
      </c>
      <c r="F54" s="8">
        <v>2.72</v>
      </c>
      <c r="G54" s="12">
        <v>58</v>
      </c>
      <c r="H54" s="8">
        <v>1.01</v>
      </c>
      <c r="I54" s="12">
        <v>0</v>
      </c>
    </row>
    <row r="55" spans="2:9" ht="15" customHeight="1" x14ac:dyDescent="0.2">
      <c r="B55" t="s">
        <v>159</v>
      </c>
      <c r="C55" s="12">
        <v>166</v>
      </c>
      <c r="D55" s="8">
        <v>1.64</v>
      </c>
      <c r="E55" s="12">
        <v>109</v>
      </c>
      <c r="F55" s="8">
        <v>2.5099999999999998</v>
      </c>
      <c r="G55" s="12">
        <v>57</v>
      </c>
      <c r="H55" s="8">
        <v>1</v>
      </c>
      <c r="I55" s="12">
        <v>0</v>
      </c>
    </row>
    <row r="56" spans="2:9" ht="15" customHeight="1" x14ac:dyDescent="0.2">
      <c r="B56" t="s">
        <v>173</v>
      </c>
      <c r="C56" s="12">
        <v>155</v>
      </c>
      <c r="D56" s="8">
        <v>1.54</v>
      </c>
      <c r="E56" s="12">
        <v>107</v>
      </c>
      <c r="F56" s="8">
        <v>2.4700000000000002</v>
      </c>
      <c r="G56" s="12">
        <v>47</v>
      </c>
      <c r="H56" s="8">
        <v>0.82</v>
      </c>
      <c r="I56" s="12">
        <v>1</v>
      </c>
    </row>
    <row r="57" spans="2:9" ht="15" customHeight="1" x14ac:dyDescent="0.2">
      <c r="B57" t="s">
        <v>198</v>
      </c>
      <c r="C57" s="12">
        <v>153</v>
      </c>
      <c r="D57" s="8">
        <v>1.52</v>
      </c>
      <c r="E57" s="12">
        <v>26</v>
      </c>
      <c r="F57" s="8">
        <v>0.6</v>
      </c>
      <c r="G57" s="12">
        <v>127</v>
      </c>
      <c r="H57" s="8">
        <v>2.2200000000000002</v>
      </c>
      <c r="I57" s="12">
        <v>0</v>
      </c>
    </row>
    <row r="58" spans="2:9" ht="15" customHeight="1" x14ac:dyDescent="0.2">
      <c r="B58" t="s">
        <v>192</v>
      </c>
      <c r="C58" s="12">
        <v>152</v>
      </c>
      <c r="D58" s="8">
        <v>1.51</v>
      </c>
      <c r="E58" s="12">
        <v>21</v>
      </c>
      <c r="F58" s="8">
        <v>0.48</v>
      </c>
      <c r="G58" s="12">
        <v>131</v>
      </c>
      <c r="H58" s="8">
        <v>2.29</v>
      </c>
      <c r="I58" s="12">
        <v>0</v>
      </c>
    </row>
    <row r="59" spans="2:9" ht="15" customHeight="1" x14ac:dyDescent="0.2">
      <c r="B59" t="s">
        <v>160</v>
      </c>
      <c r="C59" s="12">
        <v>145</v>
      </c>
      <c r="D59" s="8">
        <v>1.44</v>
      </c>
      <c r="E59" s="12">
        <v>19</v>
      </c>
      <c r="F59" s="8">
        <v>0.44</v>
      </c>
      <c r="G59" s="12">
        <v>126</v>
      </c>
      <c r="H59" s="8">
        <v>2.2000000000000002</v>
      </c>
      <c r="I59" s="12">
        <v>0</v>
      </c>
    </row>
    <row r="60" spans="2:9" ht="15" customHeight="1" x14ac:dyDescent="0.2">
      <c r="B60" t="s">
        <v>161</v>
      </c>
      <c r="C60" s="12">
        <v>138</v>
      </c>
      <c r="D60" s="8">
        <v>1.37</v>
      </c>
      <c r="E60" s="12">
        <v>26</v>
      </c>
      <c r="F60" s="8">
        <v>0.6</v>
      </c>
      <c r="G60" s="12">
        <v>112</v>
      </c>
      <c r="H60" s="8">
        <v>1.96</v>
      </c>
      <c r="I60" s="12">
        <v>0</v>
      </c>
    </row>
    <row r="61" spans="2:9" ht="15" customHeight="1" x14ac:dyDescent="0.2">
      <c r="B61" t="s">
        <v>197</v>
      </c>
      <c r="C61" s="12">
        <v>137</v>
      </c>
      <c r="D61" s="8">
        <v>1.36</v>
      </c>
      <c r="E61" s="12">
        <v>76</v>
      </c>
      <c r="F61" s="8">
        <v>1.75</v>
      </c>
      <c r="G61" s="12">
        <v>61</v>
      </c>
      <c r="H61" s="8">
        <v>1.07</v>
      </c>
      <c r="I61" s="12">
        <v>0</v>
      </c>
    </row>
    <row r="62" spans="2:9" ht="15" customHeight="1" x14ac:dyDescent="0.2">
      <c r="B62" t="s">
        <v>170</v>
      </c>
      <c r="C62" s="12">
        <v>120</v>
      </c>
      <c r="D62" s="8">
        <v>1.19</v>
      </c>
      <c r="E62" s="12">
        <v>105</v>
      </c>
      <c r="F62" s="8">
        <v>2.42</v>
      </c>
      <c r="G62" s="12">
        <v>15</v>
      </c>
      <c r="H62" s="8">
        <v>0.26</v>
      </c>
      <c r="I62" s="12">
        <v>0</v>
      </c>
    </row>
    <row r="63" spans="2:9" ht="15" customHeight="1" x14ac:dyDescent="0.2">
      <c r="B63" t="s">
        <v>177</v>
      </c>
      <c r="C63" s="12">
        <v>119</v>
      </c>
      <c r="D63" s="8">
        <v>1.18</v>
      </c>
      <c r="E63" s="12">
        <v>12</v>
      </c>
      <c r="F63" s="8">
        <v>0.28000000000000003</v>
      </c>
      <c r="G63" s="12">
        <v>107</v>
      </c>
      <c r="H63" s="8">
        <v>1.87</v>
      </c>
      <c r="I63" s="12">
        <v>0</v>
      </c>
    </row>
    <row r="64" spans="2:9" ht="15" customHeight="1" x14ac:dyDescent="0.2">
      <c r="B64" t="s">
        <v>195</v>
      </c>
      <c r="C64" s="12">
        <v>117</v>
      </c>
      <c r="D64" s="8">
        <v>1.1599999999999999</v>
      </c>
      <c r="E64" s="12">
        <v>12</v>
      </c>
      <c r="F64" s="8">
        <v>0.28000000000000003</v>
      </c>
      <c r="G64" s="12">
        <v>105</v>
      </c>
      <c r="H64" s="8">
        <v>1.83</v>
      </c>
      <c r="I64" s="12">
        <v>0</v>
      </c>
    </row>
    <row r="65" spans="2:9" ht="15" customHeight="1" x14ac:dyDescent="0.2">
      <c r="B65" t="s">
        <v>209</v>
      </c>
      <c r="C65" s="12">
        <v>114</v>
      </c>
      <c r="D65" s="8">
        <v>1.1299999999999999</v>
      </c>
      <c r="E65" s="12">
        <v>51</v>
      </c>
      <c r="F65" s="8">
        <v>1.18</v>
      </c>
      <c r="G65" s="12">
        <v>63</v>
      </c>
      <c r="H65" s="8">
        <v>1.1000000000000001</v>
      </c>
      <c r="I65" s="12">
        <v>0</v>
      </c>
    </row>
    <row r="66" spans="2:9" ht="15" customHeight="1" x14ac:dyDescent="0.2">
      <c r="B66" t="s">
        <v>206</v>
      </c>
      <c r="C66" s="12">
        <v>112</v>
      </c>
      <c r="D66" s="8">
        <v>1.1100000000000001</v>
      </c>
      <c r="E66" s="12">
        <v>11</v>
      </c>
      <c r="F66" s="8">
        <v>0.25</v>
      </c>
      <c r="G66" s="12">
        <v>101</v>
      </c>
      <c r="H66" s="8">
        <v>1.76</v>
      </c>
      <c r="I66" s="12">
        <v>0</v>
      </c>
    </row>
    <row r="67" spans="2:9" ht="15" customHeight="1" x14ac:dyDescent="0.2">
      <c r="B67" t="s">
        <v>201</v>
      </c>
      <c r="C67" s="12">
        <v>112</v>
      </c>
      <c r="D67" s="8">
        <v>1.1100000000000001</v>
      </c>
      <c r="E67" s="12">
        <v>10</v>
      </c>
      <c r="F67" s="8">
        <v>0.23</v>
      </c>
      <c r="G67" s="12">
        <v>102</v>
      </c>
      <c r="H67" s="8">
        <v>1.78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0778-097D-4CD2-82ED-28B4D43F850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1789</v>
      </c>
      <c r="D6" s="8">
        <v>14.88</v>
      </c>
      <c r="E6" s="12">
        <v>180</v>
      </c>
      <c r="F6" s="8">
        <v>4.25</v>
      </c>
      <c r="G6" s="12">
        <v>1609</v>
      </c>
      <c r="H6" s="8">
        <v>20.7</v>
      </c>
      <c r="I6" s="12">
        <v>0</v>
      </c>
    </row>
    <row r="7" spans="2:9" ht="15" customHeight="1" x14ac:dyDescent="0.2">
      <c r="B7" t="s">
        <v>67</v>
      </c>
      <c r="C7" s="12">
        <v>1804</v>
      </c>
      <c r="D7" s="8">
        <v>15.01</v>
      </c>
      <c r="E7" s="12">
        <v>463</v>
      </c>
      <c r="F7" s="8">
        <v>10.92</v>
      </c>
      <c r="G7" s="12">
        <v>1341</v>
      </c>
      <c r="H7" s="8">
        <v>17.25</v>
      </c>
      <c r="I7" s="12">
        <v>0</v>
      </c>
    </row>
    <row r="8" spans="2:9" ht="15" customHeight="1" x14ac:dyDescent="0.2">
      <c r="B8" t="s">
        <v>68</v>
      </c>
      <c r="C8" s="12">
        <v>6</v>
      </c>
      <c r="D8" s="8">
        <v>0.05</v>
      </c>
      <c r="E8" s="12">
        <v>0</v>
      </c>
      <c r="F8" s="8">
        <v>0</v>
      </c>
      <c r="G8" s="12">
        <v>6</v>
      </c>
      <c r="H8" s="8">
        <v>0.08</v>
      </c>
      <c r="I8" s="12">
        <v>0</v>
      </c>
    </row>
    <row r="9" spans="2:9" ht="15" customHeight="1" x14ac:dyDescent="0.2">
      <c r="B9" t="s">
        <v>69</v>
      </c>
      <c r="C9" s="12">
        <v>166</v>
      </c>
      <c r="D9" s="8">
        <v>1.38</v>
      </c>
      <c r="E9" s="12">
        <v>1</v>
      </c>
      <c r="F9" s="8">
        <v>0.02</v>
      </c>
      <c r="G9" s="12">
        <v>165</v>
      </c>
      <c r="H9" s="8">
        <v>2.12</v>
      </c>
      <c r="I9" s="12">
        <v>0</v>
      </c>
    </row>
    <row r="10" spans="2:9" ht="15" customHeight="1" x14ac:dyDescent="0.2">
      <c r="B10" t="s">
        <v>70</v>
      </c>
      <c r="C10" s="12">
        <v>387</v>
      </c>
      <c r="D10" s="8">
        <v>3.22</v>
      </c>
      <c r="E10" s="12">
        <v>231</v>
      </c>
      <c r="F10" s="8">
        <v>5.45</v>
      </c>
      <c r="G10" s="12">
        <v>156</v>
      </c>
      <c r="H10" s="8">
        <v>2.0099999999999998</v>
      </c>
      <c r="I10" s="12">
        <v>0</v>
      </c>
    </row>
    <row r="11" spans="2:9" ht="15" customHeight="1" x14ac:dyDescent="0.2">
      <c r="B11" t="s">
        <v>71</v>
      </c>
      <c r="C11" s="12">
        <v>2319</v>
      </c>
      <c r="D11" s="8">
        <v>19.29</v>
      </c>
      <c r="E11" s="12">
        <v>743</v>
      </c>
      <c r="F11" s="8">
        <v>17.52</v>
      </c>
      <c r="G11" s="12">
        <v>1576</v>
      </c>
      <c r="H11" s="8">
        <v>20.28</v>
      </c>
      <c r="I11" s="12">
        <v>0</v>
      </c>
    </row>
    <row r="12" spans="2:9" ht="15" customHeight="1" x14ac:dyDescent="0.2">
      <c r="B12" t="s">
        <v>72</v>
      </c>
      <c r="C12" s="12">
        <v>55</v>
      </c>
      <c r="D12" s="8">
        <v>0.46</v>
      </c>
      <c r="E12" s="12">
        <v>2</v>
      </c>
      <c r="F12" s="8">
        <v>0.05</v>
      </c>
      <c r="G12" s="12">
        <v>53</v>
      </c>
      <c r="H12" s="8">
        <v>0.68</v>
      </c>
      <c r="I12" s="12">
        <v>0</v>
      </c>
    </row>
    <row r="13" spans="2:9" ht="15" customHeight="1" x14ac:dyDescent="0.2">
      <c r="B13" t="s">
        <v>73</v>
      </c>
      <c r="C13" s="12">
        <v>1581</v>
      </c>
      <c r="D13" s="8">
        <v>13.15</v>
      </c>
      <c r="E13" s="12">
        <v>302</v>
      </c>
      <c r="F13" s="8">
        <v>7.12</v>
      </c>
      <c r="G13" s="12">
        <v>1279</v>
      </c>
      <c r="H13" s="8">
        <v>16.46</v>
      </c>
      <c r="I13" s="12">
        <v>0</v>
      </c>
    </row>
    <row r="14" spans="2:9" ht="15" customHeight="1" x14ac:dyDescent="0.2">
      <c r="B14" t="s">
        <v>74</v>
      </c>
      <c r="C14" s="12">
        <v>499</v>
      </c>
      <c r="D14" s="8">
        <v>4.1500000000000004</v>
      </c>
      <c r="E14" s="12">
        <v>156</v>
      </c>
      <c r="F14" s="8">
        <v>3.68</v>
      </c>
      <c r="G14" s="12">
        <v>338</v>
      </c>
      <c r="H14" s="8">
        <v>4.3499999999999996</v>
      </c>
      <c r="I14" s="12">
        <v>0</v>
      </c>
    </row>
    <row r="15" spans="2:9" ht="15" customHeight="1" x14ac:dyDescent="0.2">
      <c r="B15" t="s">
        <v>75</v>
      </c>
      <c r="C15" s="12">
        <v>999</v>
      </c>
      <c r="D15" s="8">
        <v>8.31</v>
      </c>
      <c r="E15" s="12">
        <v>744</v>
      </c>
      <c r="F15" s="8">
        <v>17.55</v>
      </c>
      <c r="G15" s="12">
        <v>255</v>
      </c>
      <c r="H15" s="8">
        <v>3.28</v>
      </c>
      <c r="I15" s="12">
        <v>0</v>
      </c>
    </row>
    <row r="16" spans="2:9" ht="15" customHeight="1" x14ac:dyDescent="0.2">
      <c r="B16" t="s">
        <v>76</v>
      </c>
      <c r="C16" s="12">
        <v>1199</v>
      </c>
      <c r="D16" s="8">
        <v>9.98</v>
      </c>
      <c r="E16" s="12">
        <v>847</v>
      </c>
      <c r="F16" s="8">
        <v>19.98</v>
      </c>
      <c r="G16" s="12">
        <v>350</v>
      </c>
      <c r="H16" s="8">
        <v>4.5</v>
      </c>
      <c r="I16" s="12">
        <v>0</v>
      </c>
    </row>
    <row r="17" spans="2:9" ht="15" customHeight="1" x14ac:dyDescent="0.2">
      <c r="B17" t="s">
        <v>77</v>
      </c>
      <c r="C17" s="12">
        <v>266</v>
      </c>
      <c r="D17" s="8">
        <v>2.21</v>
      </c>
      <c r="E17" s="12">
        <v>148</v>
      </c>
      <c r="F17" s="8">
        <v>3.49</v>
      </c>
      <c r="G17" s="12">
        <v>117</v>
      </c>
      <c r="H17" s="8">
        <v>1.51</v>
      </c>
      <c r="I17" s="12">
        <v>0</v>
      </c>
    </row>
    <row r="18" spans="2:9" ht="15" customHeight="1" x14ac:dyDescent="0.2">
      <c r="B18" t="s">
        <v>78</v>
      </c>
      <c r="C18" s="12">
        <v>511</v>
      </c>
      <c r="D18" s="8">
        <v>4.25</v>
      </c>
      <c r="E18" s="12">
        <v>329</v>
      </c>
      <c r="F18" s="8">
        <v>7.76</v>
      </c>
      <c r="G18" s="12">
        <v>182</v>
      </c>
      <c r="H18" s="8">
        <v>2.34</v>
      </c>
      <c r="I18" s="12">
        <v>0</v>
      </c>
    </row>
    <row r="19" spans="2:9" ht="15" customHeight="1" x14ac:dyDescent="0.2">
      <c r="B19" t="s">
        <v>79</v>
      </c>
      <c r="C19" s="12">
        <v>439</v>
      </c>
      <c r="D19" s="8">
        <v>3.65</v>
      </c>
      <c r="E19" s="12">
        <v>94</v>
      </c>
      <c r="F19" s="8">
        <v>2.2200000000000002</v>
      </c>
      <c r="G19" s="12">
        <v>345</v>
      </c>
      <c r="H19" s="8">
        <v>4.4400000000000004</v>
      </c>
      <c r="I19" s="12">
        <v>0</v>
      </c>
    </row>
    <row r="20" spans="2:9" ht="15" customHeight="1" x14ac:dyDescent="0.2">
      <c r="B20" s="9" t="s">
        <v>280</v>
      </c>
      <c r="C20" s="12">
        <f>SUM(LTBL_13123[総数／事業所数])</f>
        <v>12020</v>
      </c>
      <c r="E20" s="12">
        <f>SUBTOTAL(109,LTBL_13123[個人／事業所数])</f>
        <v>4240</v>
      </c>
      <c r="G20" s="12">
        <f>SUBTOTAL(109,LTBL_13123[法人／事業所数])</f>
        <v>7772</v>
      </c>
      <c r="I20" s="12">
        <f>SUBTOTAL(109,LTBL_13123[法人以外の団体／事業所数])</f>
        <v>0</v>
      </c>
    </row>
    <row r="21" spans="2:9" ht="15" customHeight="1" x14ac:dyDescent="0.2">
      <c r="E21" s="11">
        <f>LTBL_13123[[#Totals],[個人／事業所数]]/LTBL_13123[[#Totals],[総数／事業所数]]</f>
        <v>0.35274542429284528</v>
      </c>
      <c r="G21" s="11">
        <f>LTBL_13123[[#Totals],[法人／事業所数]]/LTBL_13123[[#Totals],[総数／事業所数]]</f>
        <v>0.64658901830282867</v>
      </c>
      <c r="I21" s="11">
        <f>LTBL_13123[[#Totals],[法人以外の団体／事業所数]]/LTBL_13123[[#Totals],[総数／事業所数]]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1266</v>
      </c>
      <c r="D24" s="8">
        <v>10.53</v>
      </c>
      <c r="E24" s="12">
        <v>280</v>
      </c>
      <c r="F24" s="8">
        <v>6.6</v>
      </c>
      <c r="G24" s="12">
        <v>986</v>
      </c>
      <c r="H24" s="8">
        <v>12.69</v>
      </c>
      <c r="I24" s="12">
        <v>0</v>
      </c>
    </row>
    <row r="25" spans="2:9" ht="15" customHeight="1" x14ac:dyDescent="0.2">
      <c r="B25" t="s">
        <v>104</v>
      </c>
      <c r="C25" s="12">
        <v>1025</v>
      </c>
      <c r="D25" s="8">
        <v>8.5299999999999994</v>
      </c>
      <c r="E25" s="12">
        <v>791</v>
      </c>
      <c r="F25" s="8">
        <v>18.66</v>
      </c>
      <c r="G25" s="12">
        <v>234</v>
      </c>
      <c r="H25" s="8">
        <v>3.01</v>
      </c>
      <c r="I25" s="12">
        <v>0</v>
      </c>
    </row>
    <row r="26" spans="2:9" ht="15" customHeight="1" x14ac:dyDescent="0.2">
      <c r="B26" t="s">
        <v>103</v>
      </c>
      <c r="C26" s="12">
        <v>904</v>
      </c>
      <c r="D26" s="8">
        <v>7.52</v>
      </c>
      <c r="E26" s="12">
        <v>733</v>
      </c>
      <c r="F26" s="8">
        <v>17.29</v>
      </c>
      <c r="G26" s="12">
        <v>171</v>
      </c>
      <c r="H26" s="8">
        <v>2.2000000000000002</v>
      </c>
      <c r="I26" s="12">
        <v>0</v>
      </c>
    </row>
    <row r="27" spans="2:9" ht="15" customHeight="1" x14ac:dyDescent="0.2">
      <c r="B27" t="s">
        <v>89</v>
      </c>
      <c r="C27" s="12">
        <v>749</v>
      </c>
      <c r="D27" s="8">
        <v>6.23</v>
      </c>
      <c r="E27" s="12">
        <v>87</v>
      </c>
      <c r="F27" s="8">
        <v>2.0499999999999998</v>
      </c>
      <c r="G27" s="12">
        <v>662</v>
      </c>
      <c r="H27" s="8">
        <v>8.52</v>
      </c>
      <c r="I27" s="12">
        <v>0</v>
      </c>
    </row>
    <row r="28" spans="2:9" ht="15" customHeight="1" x14ac:dyDescent="0.2">
      <c r="B28" t="s">
        <v>98</v>
      </c>
      <c r="C28" s="12">
        <v>552</v>
      </c>
      <c r="D28" s="8">
        <v>4.59</v>
      </c>
      <c r="E28" s="12">
        <v>242</v>
      </c>
      <c r="F28" s="8">
        <v>5.71</v>
      </c>
      <c r="G28" s="12">
        <v>310</v>
      </c>
      <c r="H28" s="8">
        <v>3.99</v>
      </c>
      <c r="I28" s="12">
        <v>0</v>
      </c>
    </row>
    <row r="29" spans="2:9" ht="15" customHeight="1" x14ac:dyDescent="0.2">
      <c r="B29" t="s">
        <v>90</v>
      </c>
      <c r="C29" s="12">
        <v>522</v>
      </c>
      <c r="D29" s="8">
        <v>4.34</v>
      </c>
      <c r="E29" s="12">
        <v>43</v>
      </c>
      <c r="F29" s="8">
        <v>1.01</v>
      </c>
      <c r="G29" s="12">
        <v>479</v>
      </c>
      <c r="H29" s="8">
        <v>6.16</v>
      </c>
      <c r="I29" s="12">
        <v>0</v>
      </c>
    </row>
    <row r="30" spans="2:9" ht="15" customHeight="1" x14ac:dyDescent="0.2">
      <c r="B30" t="s">
        <v>88</v>
      </c>
      <c r="C30" s="12">
        <v>518</v>
      </c>
      <c r="D30" s="8">
        <v>4.3099999999999996</v>
      </c>
      <c r="E30" s="12">
        <v>50</v>
      </c>
      <c r="F30" s="8">
        <v>1.18</v>
      </c>
      <c r="G30" s="12">
        <v>468</v>
      </c>
      <c r="H30" s="8">
        <v>6.02</v>
      </c>
      <c r="I30" s="12">
        <v>0</v>
      </c>
    </row>
    <row r="31" spans="2:9" ht="15" customHeight="1" x14ac:dyDescent="0.2">
      <c r="B31" t="s">
        <v>106</v>
      </c>
      <c r="C31" s="12">
        <v>422</v>
      </c>
      <c r="D31" s="8">
        <v>3.51</v>
      </c>
      <c r="E31" s="12">
        <v>327</v>
      </c>
      <c r="F31" s="8">
        <v>7.71</v>
      </c>
      <c r="G31" s="12">
        <v>95</v>
      </c>
      <c r="H31" s="8">
        <v>1.22</v>
      </c>
      <c r="I31" s="12">
        <v>0</v>
      </c>
    </row>
    <row r="32" spans="2:9" ht="15" customHeight="1" x14ac:dyDescent="0.2">
      <c r="B32" t="s">
        <v>119</v>
      </c>
      <c r="C32" s="12">
        <v>406</v>
      </c>
      <c r="D32" s="8">
        <v>3.38</v>
      </c>
      <c r="E32" s="12">
        <v>84</v>
      </c>
      <c r="F32" s="8">
        <v>1.98</v>
      </c>
      <c r="G32" s="12">
        <v>322</v>
      </c>
      <c r="H32" s="8">
        <v>4.1399999999999997</v>
      </c>
      <c r="I32" s="12">
        <v>0</v>
      </c>
    </row>
    <row r="33" spans="2:9" ht="15" customHeight="1" x14ac:dyDescent="0.2">
      <c r="B33" t="s">
        <v>96</v>
      </c>
      <c r="C33" s="12">
        <v>395</v>
      </c>
      <c r="D33" s="8">
        <v>3.29</v>
      </c>
      <c r="E33" s="12">
        <v>229</v>
      </c>
      <c r="F33" s="8">
        <v>5.4</v>
      </c>
      <c r="G33" s="12">
        <v>166</v>
      </c>
      <c r="H33" s="8">
        <v>2.14</v>
      </c>
      <c r="I33" s="12">
        <v>0</v>
      </c>
    </row>
    <row r="34" spans="2:9" ht="15" customHeight="1" x14ac:dyDescent="0.2">
      <c r="B34" t="s">
        <v>97</v>
      </c>
      <c r="C34" s="12">
        <v>285</v>
      </c>
      <c r="D34" s="8">
        <v>2.37</v>
      </c>
      <c r="E34" s="12">
        <v>98</v>
      </c>
      <c r="F34" s="8">
        <v>2.31</v>
      </c>
      <c r="G34" s="12">
        <v>187</v>
      </c>
      <c r="H34" s="8">
        <v>2.41</v>
      </c>
      <c r="I34" s="12">
        <v>0</v>
      </c>
    </row>
    <row r="35" spans="2:9" ht="15" customHeight="1" x14ac:dyDescent="0.2">
      <c r="B35" t="s">
        <v>101</v>
      </c>
      <c r="C35" s="12">
        <v>284</v>
      </c>
      <c r="D35" s="8">
        <v>2.36</v>
      </c>
      <c r="E35" s="12">
        <v>112</v>
      </c>
      <c r="F35" s="8">
        <v>2.64</v>
      </c>
      <c r="G35" s="12">
        <v>172</v>
      </c>
      <c r="H35" s="8">
        <v>2.21</v>
      </c>
      <c r="I35" s="12">
        <v>0</v>
      </c>
    </row>
    <row r="36" spans="2:9" ht="15" customHeight="1" x14ac:dyDescent="0.2">
      <c r="B36" t="s">
        <v>99</v>
      </c>
      <c r="C36" s="12">
        <v>270</v>
      </c>
      <c r="D36" s="8">
        <v>2.25</v>
      </c>
      <c r="E36" s="12">
        <v>21</v>
      </c>
      <c r="F36" s="8">
        <v>0.5</v>
      </c>
      <c r="G36" s="12">
        <v>249</v>
      </c>
      <c r="H36" s="8">
        <v>3.2</v>
      </c>
      <c r="I36" s="12">
        <v>0</v>
      </c>
    </row>
    <row r="37" spans="2:9" ht="15" customHeight="1" x14ac:dyDescent="0.2">
      <c r="B37" t="s">
        <v>105</v>
      </c>
      <c r="C37" s="12">
        <v>266</v>
      </c>
      <c r="D37" s="8">
        <v>2.21</v>
      </c>
      <c r="E37" s="12">
        <v>148</v>
      </c>
      <c r="F37" s="8">
        <v>3.49</v>
      </c>
      <c r="G37" s="12">
        <v>117</v>
      </c>
      <c r="H37" s="8">
        <v>1.51</v>
      </c>
      <c r="I37" s="12">
        <v>0</v>
      </c>
    </row>
    <row r="38" spans="2:9" ht="15" customHeight="1" x14ac:dyDescent="0.2">
      <c r="B38" t="s">
        <v>123</v>
      </c>
      <c r="C38" s="12">
        <v>229</v>
      </c>
      <c r="D38" s="8">
        <v>1.91</v>
      </c>
      <c r="E38" s="12">
        <v>224</v>
      </c>
      <c r="F38" s="8">
        <v>5.28</v>
      </c>
      <c r="G38" s="12">
        <v>5</v>
      </c>
      <c r="H38" s="8">
        <v>0.06</v>
      </c>
      <c r="I38" s="12">
        <v>0</v>
      </c>
    </row>
    <row r="39" spans="2:9" ht="15" customHeight="1" x14ac:dyDescent="0.2">
      <c r="B39" t="s">
        <v>110</v>
      </c>
      <c r="C39" s="12">
        <v>220</v>
      </c>
      <c r="D39" s="8">
        <v>1.83</v>
      </c>
      <c r="E39" s="12">
        <v>30</v>
      </c>
      <c r="F39" s="8">
        <v>0.71</v>
      </c>
      <c r="G39" s="12">
        <v>190</v>
      </c>
      <c r="H39" s="8">
        <v>2.44</v>
      </c>
      <c r="I39" s="12">
        <v>0</v>
      </c>
    </row>
    <row r="40" spans="2:9" ht="15" customHeight="1" x14ac:dyDescent="0.2">
      <c r="B40" t="s">
        <v>94</v>
      </c>
      <c r="C40" s="12">
        <v>205</v>
      </c>
      <c r="D40" s="8">
        <v>1.71</v>
      </c>
      <c r="E40" s="12">
        <v>11</v>
      </c>
      <c r="F40" s="8">
        <v>0.26</v>
      </c>
      <c r="G40" s="12">
        <v>194</v>
      </c>
      <c r="H40" s="8">
        <v>2.5</v>
      </c>
      <c r="I40" s="12">
        <v>0</v>
      </c>
    </row>
    <row r="41" spans="2:9" ht="15" customHeight="1" x14ac:dyDescent="0.2">
      <c r="B41" t="s">
        <v>118</v>
      </c>
      <c r="C41" s="12">
        <v>199</v>
      </c>
      <c r="D41" s="8">
        <v>1.66</v>
      </c>
      <c r="E41" s="12">
        <v>90</v>
      </c>
      <c r="F41" s="8">
        <v>2.12</v>
      </c>
      <c r="G41" s="12">
        <v>109</v>
      </c>
      <c r="H41" s="8">
        <v>1.4</v>
      </c>
      <c r="I41" s="12">
        <v>0</v>
      </c>
    </row>
    <row r="42" spans="2:9" ht="15" customHeight="1" x14ac:dyDescent="0.2">
      <c r="B42" t="s">
        <v>102</v>
      </c>
      <c r="C42" s="12">
        <v>190</v>
      </c>
      <c r="D42" s="8">
        <v>1.58</v>
      </c>
      <c r="E42" s="12">
        <v>43</v>
      </c>
      <c r="F42" s="8">
        <v>1.01</v>
      </c>
      <c r="G42" s="12">
        <v>142</v>
      </c>
      <c r="H42" s="8">
        <v>1.83</v>
      </c>
      <c r="I42" s="12">
        <v>0</v>
      </c>
    </row>
    <row r="43" spans="2:9" ht="15" customHeight="1" x14ac:dyDescent="0.2">
      <c r="B43" t="s">
        <v>93</v>
      </c>
      <c r="C43" s="12">
        <v>189</v>
      </c>
      <c r="D43" s="8">
        <v>1.57</v>
      </c>
      <c r="E43" s="12">
        <v>11</v>
      </c>
      <c r="F43" s="8">
        <v>0.26</v>
      </c>
      <c r="G43" s="12">
        <v>178</v>
      </c>
      <c r="H43" s="8">
        <v>2.29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738</v>
      </c>
      <c r="D47" s="8">
        <v>6.14</v>
      </c>
      <c r="E47" s="12">
        <v>230</v>
      </c>
      <c r="F47" s="8">
        <v>5.42</v>
      </c>
      <c r="G47" s="12">
        <v>508</v>
      </c>
      <c r="H47" s="8">
        <v>6.54</v>
      </c>
      <c r="I47" s="12">
        <v>0</v>
      </c>
    </row>
    <row r="48" spans="2:9" ht="15" customHeight="1" x14ac:dyDescent="0.2">
      <c r="B48" t="s">
        <v>172</v>
      </c>
      <c r="C48" s="12">
        <v>409</v>
      </c>
      <c r="D48" s="8">
        <v>3.4</v>
      </c>
      <c r="E48" s="12">
        <v>325</v>
      </c>
      <c r="F48" s="8">
        <v>7.67</v>
      </c>
      <c r="G48" s="12">
        <v>84</v>
      </c>
      <c r="H48" s="8">
        <v>1.08</v>
      </c>
      <c r="I48" s="12">
        <v>0</v>
      </c>
    </row>
    <row r="49" spans="2:9" ht="15" customHeight="1" x14ac:dyDescent="0.2">
      <c r="B49" t="s">
        <v>171</v>
      </c>
      <c r="C49" s="12">
        <v>346</v>
      </c>
      <c r="D49" s="8">
        <v>2.88</v>
      </c>
      <c r="E49" s="12">
        <v>318</v>
      </c>
      <c r="F49" s="8">
        <v>7.5</v>
      </c>
      <c r="G49" s="12">
        <v>28</v>
      </c>
      <c r="H49" s="8">
        <v>0.36</v>
      </c>
      <c r="I49" s="12">
        <v>0</v>
      </c>
    </row>
    <row r="50" spans="2:9" ht="15" customHeight="1" x14ac:dyDescent="0.2">
      <c r="B50" t="s">
        <v>169</v>
      </c>
      <c r="C50" s="12">
        <v>296</v>
      </c>
      <c r="D50" s="8">
        <v>2.46</v>
      </c>
      <c r="E50" s="12">
        <v>260</v>
      </c>
      <c r="F50" s="8">
        <v>6.13</v>
      </c>
      <c r="G50" s="12">
        <v>36</v>
      </c>
      <c r="H50" s="8">
        <v>0.46</v>
      </c>
      <c r="I50" s="12">
        <v>0</v>
      </c>
    </row>
    <row r="51" spans="2:9" ht="15" customHeight="1" x14ac:dyDescent="0.2">
      <c r="B51" t="s">
        <v>163</v>
      </c>
      <c r="C51" s="12">
        <v>295</v>
      </c>
      <c r="D51" s="8">
        <v>2.4500000000000002</v>
      </c>
      <c r="E51" s="12">
        <v>6</v>
      </c>
      <c r="F51" s="8">
        <v>0.14000000000000001</v>
      </c>
      <c r="G51" s="12">
        <v>289</v>
      </c>
      <c r="H51" s="8">
        <v>3.72</v>
      </c>
      <c r="I51" s="12">
        <v>0</v>
      </c>
    </row>
    <row r="52" spans="2:9" ht="15" customHeight="1" x14ac:dyDescent="0.2">
      <c r="B52" t="s">
        <v>175</v>
      </c>
      <c r="C52" s="12">
        <v>280</v>
      </c>
      <c r="D52" s="8">
        <v>2.33</v>
      </c>
      <c r="E52" s="12">
        <v>208</v>
      </c>
      <c r="F52" s="8">
        <v>4.91</v>
      </c>
      <c r="G52" s="12">
        <v>72</v>
      </c>
      <c r="H52" s="8">
        <v>0.93</v>
      </c>
      <c r="I52" s="12">
        <v>0</v>
      </c>
    </row>
    <row r="53" spans="2:9" ht="15" customHeight="1" x14ac:dyDescent="0.2">
      <c r="B53" t="s">
        <v>168</v>
      </c>
      <c r="C53" s="12">
        <v>265</v>
      </c>
      <c r="D53" s="8">
        <v>2.2000000000000002</v>
      </c>
      <c r="E53" s="12">
        <v>189</v>
      </c>
      <c r="F53" s="8">
        <v>4.46</v>
      </c>
      <c r="G53" s="12">
        <v>76</v>
      </c>
      <c r="H53" s="8">
        <v>0.98</v>
      </c>
      <c r="I53" s="12">
        <v>0</v>
      </c>
    </row>
    <row r="54" spans="2:9" ht="15" customHeight="1" x14ac:dyDescent="0.2">
      <c r="B54" t="s">
        <v>201</v>
      </c>
      <c r="C54" s="12">
        <v>228</v>
      </c>
      <c r="D54" s="8">
        <v>1.9</v>
      </c>
      <c r="E54" s="12">
        <v>23</v>
      </c>
      <c r="F54" s="8">
        <v>0.54</v>
      </c>
      <c r="G54" s="12">
        <v>205</v>
      </c>
      <c r="H54" s="8">
        <v>2.64</v>
      </c>
      <c r="I54" s="12">
        <v>0</v>
      </c>
    </row>
    <row r="55" spans="2:9" ht="15" customHeight="1" x14ac:dyDescent="0.2">
      <c r="B55" t="s">
        <v>207</v>
      </c>
      <c r="C55" s="12">
        <v>226</v>
      </c>
      <c r="D55" s="8">
        <v>1.88</v>
      </c>
      <c r="E55" s="12">
        <v>224</v>
      </c>
      <c r="F55" s="8">
        <v>5.28</v>
      </c>
      <c r="G55" s="12">
        <v>2</v>
      </c>
      <c r="H55" s="8">
        <v>0.03</v>
      </c>
      <c r="I55" s="12">
        <v>0</v>
      </c>
    </row>
    <row r="56" spans="2:9" ht="15" customHeight="1" x14ac:dyDescent="0.2">
      <c r="B56" t="s">
        <v>159</v>
      </c>
      <c r="C56" s="12">
        <v>218</v>
      </c>
      <c r="D56" s="8">
        <v>1.81</v>
      </c>
      <c r="E56" s="12">
        <v>123</v>
      </c>
      <c r="F56" s="8">
        <v>2.9</v>
      </c>
      <c r="G56" s="12">
        <v>95</v>
      </c>
      <c r="H56" s="8">
        <v>1.22</v>
      </c>
      <c r="I56" s="12">
        <v>0</v>
      </c>
    </row>
    <row r="57" spans="2:9" ht="15" customHeight="1" x14ac:dyDescent="0.2">
      <c r="B57" t="s">
        <v>195</v>
      </c>
      <c r="C57" s="12">
        <v>203</v>
      </c>
      <c r="D57" s="8">
        <v>1.69</v>
      </c>
      <c r="E57" s="12">
        <v>17</v>
      </c>
      <c r="F57" s="8">
        <v>0.4</v>
      </c>
      <c r="G57" s="12">
        <v>186</v>
      </c>
      <c r="H57" s="8">
        <v>2.39</v>
      </c>
      <c r="I57" s="12">
        <v>0</v>
      </c>
    </row>
    <row r="58" spans="2:9" ht="15" customHeight="1" x14ac:dyDescent="0.2">
      <c r="B58" t="s">
        <v>160</v>
      </c>
      <c r="C58" s="12">
        <v>203</v>
      </c>
      <c r="D58" s="8">
        <v>1.69</v>
      </c>
      <c r="E58" s="12">
        <v>16</v>
      </c>
      <c r="F58" s="8">
        <v>0.38</v>
      </c>
      <c r="G58" s="12">
        <v>187</v>
      </c>
      <c r="H58" s="8">
        <v>2.41</v>
      </c>
      <c r="I58" s="12">
        <v>0</v>
      </c>
    </row>
    <row r="59" spans="2:9" ht="15" customHeight="1" x14ac:dyDescent="0.2">
      <c r="B59" t="s">
        <v>192</v>
      </c>
      <c r="C59" s="12">
        <v>193</v>
      </c>
      <c r="D59" s="8">
        <v>1.61</v>
      </c>
      <c r="E59" s="12">
        <v>17</v>
      </c>
      <c r="F59" s="8">
        <v>0.4</v>
      </c>
      <c r="G59" s="12">
        <v>176</v>
      </c>
      <c r="H59" s="8">
        <v>2.2599999999999998</v>
      </c>
      <c r="I59" s="12">
        <v>0</v>
      </c>
    </row>
    <row r="60" spans="2:9" ht="15" customHeight="1" x14ac:dyDescent="0.2">
      <c r="B60" t="s">
        <v>173</v>
      </c>
      <c r="C60" s="12">
        <v>174</v>
      </c>
      <c r="D60" s="8">
        <v>1.45</v>
      </c>
      <c r="E60" s="12">
        <v>105</v>
      </c>
      <c r="F60" s="8">
        <v>2.48</v>
      </c>
      <c r="G60" s="12">
        <v>69</v>
      </c>
      <c r="H60" s="8">
        <v>0.89</v>
      </c>
      <c r="I60" s="12">
        <v>0</v>
      </c>
    </row>
    <row r="61" spans="2:9" ht="15" customHeight="1" x14ac:dyDescent="0.2">
      <c r="B61" t="s">
        <v>197</v>
      </c>
      <c r="C61" s="12">
        <v>171</v>
      </c>
      <c r="D61" s="8">
        <v>1.42</v>
      </c>
      <c r="E61" s="12">
        <v>100</v>
      </c>
      <c r="F61" s="8">
        <v>2.36</v>
      </c>
      <c r="G61" s="12">
        <v>71</v>
      </c>
      <c r="H61" s="8">
        <v>0.91</v>
      </c>
      <c r="I61" s="12">
        <v>0</v>
      </c>
    </row>
    <row r="62" spans="2:9" ht="15" customHeight="1" x14ac:dyDescent="0.2">
      <c r="B62" t="s">
        <v>206</v>
      </c>
      <c r="C62" s="12">
        <v>166</v>
      </c>
      <c r="D62" s="8">
        <v>1.38</v>
      </c>
      <c r="E62" s="12">
        <v>13</v>
      </c>
      <c r="F62" s="8">
        <v>0.31</v>
      </c>
      <c r="G62" s="12">
        <v>153</v>
      </c>
      <c r="H62" s="8">
        <v>1.97</v>
      </c>
      <c r="I62" s="12">
        <v>0</v>
      </c>
    </row>
    <row r="63" spans="2:9" ht="15" customHeight="1" x14ac:dyDescent="0.2">
      <c r="B63" t="s">
        <v>161</v>
      </c>
      <c r="C63" s="12">
        <v>163</v>
      </c>
      <c r="D63" s="8">
        <v>1.36</v>
      </c>
      <c r="E63" s="12">
        <v>12</v>
      </c>
      <c r="F63" s="8">
        <v>0.28000000000000003</v>
      </c>
      <c r="G63" s="12">
        <v>151</v>
      </c>
      <c r="H63" s="8">
        <v>1.94</v>
      </c>
      <c r="I63" s="12">
        <v>0</v>
      </c>
    </row>
    <row r="64" spans="2:9" ht="15" customHeight="1" x14ac:dyDescent="0.2">
      <c r="B64" t="s">
        <v>210</v>
      </c>
      <c r="C64" s="12">
        <v>157</v>
      </c>
      <c r="D64" s="8">
        <v>1.31</v>
      </c>
      <c r="E64" s="12">
        <v>27</v>
      </c>
      <c r="F64" s="8">
        <v>0.64</v>
      </c>
      <c r="G64" s="12">
        <v>130</v>
      </c>
      <c r="H64" s="8">
        <v>1.67</v>
      </c>
      <c r="I64" s="12">
        <v>0</v>
      </c>
    </row>
    <row r="65" spans="2:9" ht="15" customHeight="1" x14ac:dyDescent="0.2">
      <c r="B65" t="s">
        <v>208</v>
      </c>
      <c r="C65" s="12">
        <v>152</v>
      </c>
      <c r="D65" s="8">
        <v>1.26</v>
      </c>
      <c r="E65" s="12">
        <v>11</v>
      </c>
      <c r="F65" s="8">
        <v>0.26</v>
      </c>
      <c r="G65" s="12">
        <v>141</v>
      </c>
      <c r="H65" s="8">
        <v>1.81</v>
      </c>
      <c r="I65" s="12">
        <v>0</v>
      </c>
    </row>
    <row r="66" spans="2:9" ht="15" customHeight="1" x14ac:dyDescent="0.2">
      <c r="B66" t="s">
        <v>158</v>
      </c>
      <c r="C66" s="12">
        <v>152</v>
      </c>
      <c r="D66" s="8">
        <v>1.26</v>
      </c>
      <c r="E66" s="12">
        <v>87</v>
      </c>
      <c r="F66" s="8">
        <v>2.0499999999999998</v>
      </c>
      <c r="G66" s="12">
        <v>65</v>
      </c>
      <c r="H66" s="8">
        <v>0.84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02F4-2F7D-4796-B6E0-E0CD47690FB5}">
  <sheetPr>
    <pageSetUpPr fitToPage="1"/>
  </sheetPr>
  <dimension ref="A1:I1478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155</v>
      </c>
      <c r="B1" s="3" t="s">
        <v>156</v>
      </c>
      <c r="C1" s="7" t="s">
        <v>81</v>
      </c>
      <c r="D1" s="7" t="s">
        <v>82</v>
      </c>
      <c r="E1" s="7" t="s">
        <v>83</v>
      </c>
      <c r="F1" s="7" t="s">
        <v>84</v>
      </c>
      <c r="G1" s="7" t="s">
        <v>85</v>
      </c>
      <c r="H1" s="7" t="s">
        <v>86</v>
      </c>
      <c r="I1" s="7" t="s">
        <v>87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100</v>
      </c>
      <c r="C3" s="4">
        <v>40762</v>
      </c>
      <c r="D3" s="8">
        <v>12</v>
      </c>
      <c r="E3" s="4">
        <v>11051</v>
      </c>
      <c r="F3" s="8">
        <v>9.57</v>
      </c>
      <c r="G3" s="4">
        <v>29661</v>
      </c>
      <c r="H3" s="8">
        <v>13.28</v>
      </c>
      <c r="I3" s="4">
        <v>41</v>
      </c>
    </row>
    <row r="4" spans="1:9" x14ac:dyDescent="0.2">
      <c r="A4" s="2">
        <v>2</v>
      </c>
      <c r="B4" s="1" t="s">
        <v>103</v>
      </c>
      <c r="C4" s="4">
        <v>35240</v>
      </c>
      <c r="D4" s="8">
        <v>10.38</v>
      </c>
      <c r="E4" s="4">
        <v>24663</v>
      </c>
      <c r="F4" s="8">
        <v>21.35</v>
      </c>
      <c r="G4" s="4">
        <v>10567</v>
      </c>
      <c r="H4" s="8">
        <v>4.7300000000000004</v>
      </c>
      <c r="I4" s="4">
        <v>10</v>
      </c>
    </row>
    <row r="5" spans="1:9" x14ac:dyDescent="0.2">
      <c r="A5" s="2">
        <v>3</v>
      </c>
      <c r="B5" s="1" t="s">
        <v>101</v>
      </c>
      <c r="C5" s="4">
        <v>23480</v>
      </c>
      <c r="D5" s="8">
        <v>6.91</v>
      </c>
      <c r="E5" s="4">
        <v>10581</v>
      </c>
      <c r="F5" s="8">
        <v>9.16</v>
      </c>
      <c r="G5" s="4">
        <v>12874</v>
      </c>
      <c r="H5" s="8">
        <v>5.77</v>
      </c>
      <c r="I5" s="4">
        <v>25</v>
      </c>
    </row>
    <row r="6" spans="1:9" x14ac:dyDescent="0.2">
      <c r="A6" s="2">
        <v>4</v>
      </c>
      <c r="B6" s="1" t="s">
        <v>104</v>
      </c>
      <c r="C6" s="4">
        <v>22930</v>
      </c>
      <c r="D6" s="8">
        <v>6.75</v>
      </c>
      <c r="E6" s="4">
        <v>16101</v>
      </c>
      <c r="F6" s="8">
        <v>13.94</v>
      </c>
      <c r="G6" s="4">
        <v>6827</v>
      </c>
      <c r="H6" s="8">
        <v>3.06</v>
      </c>
      <c r="I6" s="4">
        <v>1</v>
      </c>
    </row>
    <row r="7" spans="1:9" x14ac:dyDescent="0.2">
      <c r="A7" s="2">
        <v>5</v>
      </c>
      <c r="B7" s="1" t="s">
        <v>98</v>
      </c>
      <c r="C7" s="4">
        <v>17019</v>
      </c>
      <c r="D7" s="8">
        <v>5.01</v>
      </c>
      <c r="E7" s="4">
        <v>6562</v>
      </c>
      <c r="F7" s="8">
        <v>5.68</v>
      </c>
      <c r="G7" s="4">
        <v>10452</v>
      </c>
      <c r="H7" s="8">
        <v>4.68</v>
      </c>
      <c r="I7" s="4">
        <v>4</v>
      </c>
    </row>
    <row r="8" spans="1:9" x14ac:dyDescent="0.2">
      <c r="A8" s="2">
        <v>6</v>
      </c>
      <c r="B8" s="1" t="s">
        <v>106</v>
      </c>
      <c r="C8" s="4">
        <v>12659</v>
      </c>
      <c r="D8" s="8">
        <v>3.73</v>
      </c>
      <c r="E8" s="4">
        <v>9974</v>
      </c>
      <c r="F8" s="8">
        <v>8.6300000000000008</v>
      </c>
      <c r="G8" s="4">
        <v>2680</v>
      </c>
      <c r="H8" s="8">
        <v>1.2</v>
      </c>
      <c r="I8" s="4">
        <v>4</v>
      </c>
    </row>
    <row r="9" spans="1:9" x14ac:dyDescent="0.2">
      <c r="A9" s="2">
        <v>7</v>
      </c>
      <c r="B9" s="1" t="s">
        <v>89</v>
      </c>
      <c r="C9" s="4">
        <v>11915</v>
      </c>
      <c r="D9" s="8">
        <v>3.51</v>
      </c>
      <c r="E9" s="4">
        <v>2156</v>
      </c>
      <c r="F9" s="8">
        <v>1.87</v>
      </c>
      <c r="G9" s="4">
        <v>9758</v>
      </c>
      <c r="H9" s="8">
        <v>4.37</v>
      </c>
      <c r="I9" s="4">
        <v>1</v>
      </c>
    </row>
    <row r="10" spans="1:9" x14ac:dyDescent="0.2">
      <c r="A10" s="2">
        <v>8</v>
      </c>
      <c r="B10" s="1" t="s">
        <v>96</v>
      </c>
      <c r="C10" s="4">
        <v>10951</v>
      </c>
      <c r="D10" s="8">
        <v>3.22</v>
      </c>
      <c r="E10" s="4">
        <v>5649</v>
      </c>
      <c r="F10" s="8">
        <v>4.8899999999999997</v>
      </c>
      <c r="G10" s="4">
        <v>5297</v>
      </c>
      <c r="H10" s="8">
        <v>2.37</v>
      </c>
      <c r="I10" s="4">
        <v>4</v>
      </c>
    </row>
    <row r="11" spans="1:9" x14ac:dyDescent="0.2">
      <c r="A11" s="2">
        <v>9</v>
      </c>
      <c r="B11" s="1" t="s">
        <v>88</v>
      </c>
      <c r="C11" s="4">
        <v>10726</v>
      </c>
      <c r="D11" s="8">
        <v>3.16</v>
      </c>
      <c r="E11" s="4">
        <v>1248</v>
      </c>
      <c r="F11" s="8">
        <v>1.08</v>
      </c>
      <c r="G11" s="4">
        <v>9476</v>
      </c>
      <c r="H11" s="8">
        <v>4.24</v>
      </c>
      <c r="I11" s="4">
        <v>2</v>
      </c>
    </row>
    <row r="12" spans="1:9" x14ac:dyDescent="0.2">
      <c r="A12" s="2">
        <v>10</v>
      </c>
      <c r="B12" s="1" t="s">
        <v>105</v>
      </c>
      <c r="C12" s="4">
        <v>9900</v>
      </c>
      <c r="D12" s="8">
        <v>2.91</v>
      </c>
      <c r="E12" s="4">
        <v>5279</v>
      </c>
      <c r="F12" s="8">
        <v>4.57</v>
      </c>
      <c r="G12" s="4">
        <v>4471</v>
      </c>
      <c r="H12" s="8">
        <v>2</v>
      </c>
      <c r="I12" s="4">
        <v>42</v>
      </c>
    </row>
    <row r="13" spans="1:9" x14ac:dyDescent="0.2">
      <c r="A13" s="2">
        <v>11</v>
      </c>
      <c r="B13" s="1" t="s">
        <v>90</v>
      </c>
      <c r="C13" s="4">
        <v>9176</v>
      </c>
      <c r="D13" s="8">
        <v>2.7</v>
      </c>
      <c r="E13" s="4">
        <v>905</v>
      </c>
      <c r="F13" s="8">
        <v>0.78</v>
      </c>
      <c r="G13" s="4">
        <v>8268</v>
      </c>
      <c r="H13" s="8">
        <v>3.7</v>
      </c>
      <c r="I13" s="4">
        <v>3</v>
      </c>
    </row>
    <row r="14" spans="1:9" x14ac:dyDescent="0.2">
      <c r="A14" s="2">
        <v>12</v>
      </c>
      <c r="B14" s="1" t="s">
        <v>95</v>
      </c>
      <c r="C14" s="4">
        <v>8346</v>
      </c>
      <c r="D14" s="8">
        <v>2.46</v>
      </c>
      <c r="E14" s="4">
        <v>2582</v>
      </c>
      <c r="F14" s="8">
        <v>2.2400000000000002</v>
      </c>
      <c r="G14" s="4">
        <v>5761</v>
      </c>
      <c r="H14" s="8">
        <v>2.58</v>
      </c>
      <c r="I14" s="4">
        <v>3</v>
      </c>
    </row>
    <row r="15" spans="1:9" x14ac:dyDescent="0.2">
      <c r="A15" s="2">
        <v>13</v>
      </c>
      <c r="B15" s="1" t="s">
        <v>99</v>
      </c>
      <c r="C15" s="4">
        <v>8177</v>
      </c>
      <c r="D15" s="8">
        <v>2.41</v>
      </c>
      <c r="E15" s="4">
        <v>473</v>
      </c>
      <c r="F15" s="8">
        <v>0.41</v>
      </c>
      <c r="G15" s="4">
        <v>7703</v>
      </c>
      <c r="H15" s="8">
        <v>3.45</v>
      </c>
      <c r="I15" s="4">
        <v>1</v>
      </c>
    </row>
    <row r="16" spans="1:9" x14ac:dyDescent="0.2">
      <c r="A16" s="2">
        <v>14</v>
      </c>
      <c r="B16" s="1" t="s">
        <v>102</v>
      </c>
      <c r="C16" s="4">
        <v>7946</v>
      </c>
      <c r="D16" s="8">
        <v>2.34</v>
      </c>
      <c r="E16" s="4">
        <v>1778</v>
      </c>
      <c r="F16" s="8">
        <v>1.54</v>
      </c>
      <c r="G16" s="4">
        <v>6119</v>
      </c>
      <c r="H16" s="8">
        <v>2.74</v>
      </c>
      <c r="I16" s="4">
        <v>9</v>
      </c>
    </row>
    <row r="17" spans="1:9" x14ac:dyDescent="0.2">
      <c r="A17" s="2">
        <v>15</v>
      </c>
      <c r="B17" s="1" t="s">
        <v>107</v>
      </c>
      <c r="C17" s="4">
        <v>7233</v>
      </c>
      <c r="D17" s="8">
        <v>2.13</v>
      </c>
      <c r="E17" s="4">
        <v>318</v>
      </c>
      <c r="F17" s="8">
        <v>0.28000000000000003</v>
      </c>
      <c r="G17" s="4">
        <v>6827</v>
      </c>
      <c r="H17" s="8">
        <v>3.06</v>
      </c>
      <c r="I17" s="4">
        <v>82</v>
      </c>
    </row>
    <row r="18" spans="1:9" x14ac:dyDescent="0.2">
      <c r="A18" s="2">
        <v>16</v>
      </c>
      <c r="B18" s="1" t="s">
        <v>94</v>
      </c>
      <c r="C18" s="4">
        <v>6897</v>
      </c>
      <c r="D18" s="8">
        <v>2.0299999999999998</v>
      </c>
      <c r="E18" s="4">
        <v>487</v>
      </c>
      <c r="F18" s="8">
        <v>0.42</v>
      </c>
      <c r="G18" s="4">
        <v>6405</v>
      </c>
      <c r="H18" s="8">
        <v>2.87</v>
      </c>
      <c r="I18" s="4">
        <v>5</v>
      </c>
    </row>
    <row r="19" spans="1:9" x14ac:dyDescent="0.2">
      <c r="A19" s="2">
        <v>17</v>
      </c>
      <c r="B19" s="1" t="s">
        <v>93</v>
      </c>
      <c r="C19" s="4">
        <v>5689</v>
      </c>
      <c r="D19" s="8">
        <v>1.67</v>
      </c>
      <c r="E19" s="4">
        <v>228</v>
      </c>
      <c r="F19" s="8">
        <v>0.2</v>
      </c>
      <c r="G19" s="4">
        <v>5460</v>
      </c>
      <c r="H19" s="8">
        <v>2.4500000000000002</v>
      </c>
      <c r="I19" s="4">
        <v>1</v>
      </c>
    </row>
    <row r="20" spans="1:9" x14ac:dyDescent="0.2">
      <c r="A20" s="2">
        <v>18</v>
      </c>
      <c r="B20" s="1" t="s">
        <v>91</v>
      </c>
      <c r="C20" s="4">
        <v>5562</v>
      </c>
      <c r="D20" s="8">
        <v>1.64</v>
      </c>
      <c r="E20" s="4">
        <v>72</v>
      </c>
      <c r="F20" s="8">
        <v>0.06</v>
      </c>
      <c r="G20" s="4">
        <v>5487</v>
      </c>
      <c r="H20" s="8">
        <v>2.46</v>
      </c>
      <c r="I20" s="4">
        <v>3</v>
      </c>
    </row>
    <row r="21" spans="1:9" x14ac:dyDescent="0.2">
      <c r="A21" s="2">
        <v>19</v>
      </c>
      <c r="B21" s="1" t="s">
        <v>97</v>
      </c>
      <c r="C21" s="4">
        <v>5135</v>
      </c>
      <c r="D21" s="8">
        <v>1.51</v>
      </c>
      <c r="E21" s="4">
        <v>1840</v>
      </c>
      <c r="F21" s="8">
        <v>1.59</v>
      </c>
      <c r="G21" s="4">
        <v>3294</v>
      </c>
      <c r="H21" s="8">
        <v>1.48</v>
      </c>
      <c r="I21" s="4">
        <v>1</v>
      </c>
    </row>
    <row r="22" spans="1:9" x14ac:dyDescent="0.2">
      <c r="A22" s="2">
        <v>20</v>
      </c>
      <c r="B22" s="1" t="s">
        <v>92</v>
      </c>
      <c r="C22" s="4">
        <v>4735</v>
      </c>
      <c r="D22" s="8">
        <v>1.39</v>
      </c>
      <c r="E22" s="4">
        <v>215</v>
      </c>
      <c r="F22" s="8">
        <v>0.19</v>
      </c>
      <c r="G22" s="4">
        <v>4505</v>
      </c>
      <c r="H22" s="8">
        <v>2.02</v>
      </c>
      <c r="I22" s="4">
        <v>15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100</v>
      </c>
      <c r="C25" s="4">
        <v>32800</v>
      </c>
      <c r="D25" s="8">
        <v>12.19</v>
      </c>
      <c r="E25" s="4">
        <v>8692</v>
      </c>
      <c r="F25" s="8">
        <v>9.98</v>
      </c>
      <c r="G25" s="4">
        <v>24067</v>
      </c>
      <c r="H25" s="8">
        <v>13.26</v>
      </c>
      <c r="I25" s="4">
        <v>36</v>
      </c>
    </row>
    <row r="26" spans="1:9" x14ac:dyDescent="0.2">
      <c r="A26" s="2">
        <v>2</v>
      </c>
      <c r="B26" s="1" t="s">
        <v>103</v>
      </c>
      <c r="C26" s="4">
        <v>28461</v>
      </c>
      <c r="D26" s="8">
        <v>10.57</v>
      </c>
      <c r="E26" s="4">
        <v>19296</v>
      </c>
      <c r="F26" s="8">
        <v>22.16</v>
      </c>
      <c r="G26" s="4">
        <v>9159</v>
      </c>
      <c r="H26" s="8">
        <v>5.05</v>
      </c>
      <c r="I26" s="4">
        <v>6</v>
      </c>
    </row>
    <row r="27" spans="1:9" x14ac:dyDescent="0.2">
      <c r="A27" s="2">
        <v>3</v>
      </c>
      <c r="B27" s="1" t="s">
        <v>101</v>
      </c>
      <c r="C27" s="4">
        <v>20487</v>
      </c>
      <c r="D27" s="8">
        <v>7.61</v>
      </c>
      <c r="E27" s="4">
        <v>9158</v>
      </c>
      <c r="F27" s="8">
        <v>10.52</v>
      </c>
      <c r="G27" s="4">
        <v>11308</v>
      </c>
      <c r="H27" s="8">
        <v>6.23</v>
      </c>
      <c r="I27" s="4">
        <v>21</v>
      </c>
    </row>
    <row r="28" spans="1:9" x14ac:dyDescent="0.2">
      <c r="A28" s="2">
        <v>4</v>
      </c>
      <c r="B28" s="1" t="s">
        <v>104</v>
      </c>
      <c r="C28" s="4">
        <v>16695</v>
      </c>
      <c r="D28" s="8">
        <v>6.2</v>
      </c>
      <c r="E28" s="4">
        <v>11392</v>
      </c>
      <c r="F28" s="8">
        <v>13.08</v>
      </c>
      <c r="G28" s="4">
        <v>5302</v>
      </c>
      <c r="H28" s="8">
        <v>2.92</v>
      </c>
      <c r="I28" s="4">
        <v>1</v>
      </c>
    </row>
    <row r="29" spans="1:9" x14ac:dyDescent="0.2">
      <c r="A29" s="2">
        <v>5</v>
      </c>
      <c r="B29" s="1" t="s">
        <v>98</v>
      </c>
      <c r="C29" s="4">
        <v>13199</v>
      </c>
      <c r="D29" s="8">
        <v>4.9000000000000004</v>
      </c>
      <c r="E29" s="4">
        <v>4941</v>
      </c>
      <c r="F29" s="8">
        <v>5.67</v>
      </c>
      <c r="G29" s="4">
        <v>8254</v>
      </c>
      <c r="H29" s="8">
        <v>4.55</v>
      </c>
      <c r="I29" s="4">
        <v>4</v>
      </c>
    </row>
    <row r="30" spans="1:9" x14ac:dyDescent="0.2">
      <c r="A30" s="2">
        <v>6</v>
      </c>
      <c r="B30" s="1" t="s">
        <v>106</v>
      </c>
      <c r="C30" s="4">
        <v>9658</v>
      </c>
      <c r="D30" s="8">
        <v>3.59</v>
      </c>
      <c r="E30" s="4">
        <v>7494</v>
      </c>
      <c r="F30" s="8">
        <v>8.61</v>
      </c>
      <c r="G30" s="4">
        <v>2159</v>
      </c>
      <c r="H30" s="8">
        <v>1.19</v>
      </c>
      <c r="I30" s="4">
        <v>4</v>
      </c>
    </row>
    <row r="31" spans="1:9" x14ac:dyDescent="0.2">
      <c r="A31" s="2">
        <v>7</v>
      </c>
      <c r="B31" s="1" t="s">
        <v>96</v>
      </c>
      <c r="C31" s="4">
        <v>8430</v>
      </c>
      <c r="D31" s="8">
        <v>3.13</v>
      </c>
      <c r="E31" s="4">
        <v>4211</v>
      </c>
      <c r="F31" s="8">
        <v>4.84</v>
      </c>
      <c r="G31" s="4">
        <v>4219</v>
      </c>
      <c r="H31" s="8">
        <v>2.3199999999999998</v>
      </c>
      <c r="I31" s="4">
        <v>0</v>
      </c>
    </row>
    <row r="32" spans="1:9" x14ac:dyDescent="0.2">
      <c r="A32" s="2">
        <v>8</v>
      </c>
      <c r="B32" s="1" t="s">
        <v>89</v>
      </c>
      <c r="C32" s="4">
        <v>8288</v>
      </c>
      <c r="D32" s="8">
        <v>3.08</v>
      </c>
      <c r="E32" s="4">
        <v>1252</v>
      </c>
      <c r="F32" s="8">
        <v>1.44</v>
      </c>
      <c r="G32" s="4">
        <v>7035</v>
      </c>
      <c r="H32" s="8">
        <v>3.88</v>
      </c>
      <c r="I32" s="4">
        <v>1</v>
      </c>
    </row>
    <row r="33" spans="1:9" x14ac:dyDescent="0.2">
      <c r="A33" s="2">
        <v>9</v>
      </c>
      <c r="B33" s="1" t="s">
        <v>88</v>
      </c>
      <c r="C33" s="4">
        <v>6971</v>
      </c>
      <c r="D33" s="8">
        <v>2.59</v>
      </c>
      <c r="E33" s="4">
        <v>629</v>
      </c>
      <c r="F33" s="8">
        <v>0.72</v>
      </c>
      <c r="G33" s="4">
        <v>6342</v>
      </c>
      <c r="H33" s="8">
        <v>3.49</v>
      </c>
      <c r="I33" s="4">
        <v>0</v>
      </c>
    </row>
    <row r="34" spans="1:9" x14ac:dyDescent="0.2">
      <c r="A34" s="2">
        <v>10</v>
      </c>
      <c r="B34" s="1" t="s">
        <v>105</v>
      </c>
      <c r="C34" s="4">
        <v>6832</v>
      </c>
      <c r="D34" s="8">
        <v>2.54</v>
      </c>
      <c r="E34" s="4">
        <v>3313</v>
      </c>
      <c r="F34" s="8">
        <v>3.8</v>
      </c>
      <c r="G34" s="4">
        <v>3442</v>
      </c>
      <c r="H34" s="8">
        <v>1.9</v>
      </c>
      <c r="I34" s="4">
        <v>36</v>
      </c>
    </row>
    <row r="35" spans="1:9" x14ac:dyDescent="0.2">
      <c r="A35" s="2">
        <v>11</v>
      </c>
      <c r="B35" s="1" t="s">
        <v>95</v>
      </c>
      <c r="C35" s="4">
        <v>6807</v>
      </c>
      <c r="D35" s="8">
        <v>2.5299999999999998</v>
      </c>
      <c r="E35" s="4">
        <v>2018</v>
      </c>
      <c r="F35" s="8">
        <v>2.3199999999999998</v>
      </c>
      <c r="G35" s="4">
        <v>4787</v>
      </c>
      <c r="H35" s="8">
        <v>2.64</v>
      </c>
      <c r="I35" s="4">
        <v>2</v>
      </c>
    </row>
    <row r="36" spans="1:9" x14ac:dyDescent="0.2">
      <c r="A36" s="2">
        <v>12</v>
      </c>
      <c r="B36" s="1" t="s">
        <v>99</v>
      </c>
      <c r="C36" s="4">
        <v>6717</v>
      </c>
      <c r="D36" s="8">
        <v>2.5</v>
      </c>
      <c r="E36" s="4">
        <v>392</v>
      </c>
      <c r="F36" s="8">
        <v>0.45</v>
      </c>
      <c r="G36" s="4">
        <v>6325</v>
      </c>
      <c r="H36" s="8">
        <v>3.48</v>
      </c>
      <c r="I36" s="4">
        <v>0</v>
      </c>
    </row>
    <row r="37" spans="1:9" x14ac:dyDescent="0.2">
      <c r="A37" s="2">
        <v>13</v>
      </c>
      <c r="B37" s="1" t="s">
        <v>90</v>
      </c>
      <c r="C37" s="4">
        <v>6596</v>
      </c>
      <c r="D37" s="8">
        <v>2.4500000000000002</v>
      </c>
      <c r="E37" s="4">
        <v>542</v>
      </c>
      <c r="F37" s="8">
        <v>0.62</v>
      </c>
      <c r="G37" s="4">
        <v>6052</v>
      </c>
      <c r="H37" s="8">
        <v>3.33</v>
      </c>
      <c r="I37" s="4">
        <v>2</v>
      </c>
    </row>
    <row r="38" spans="1:9" x14ac:dyDescent="0.2">
      <c r="A38" s="2">
        <v>14</v>
      </c>
      <c r="B38" s="1" t="s">
        <v>107</v>
      </c>
      <c r="C38" s="4">
        <v>6175</v>
      </c>
      <c r="D38" s="8">
        <v>2.29</v>
      </c>
      <c r="E38" s="4">
        <v>257</v>
      </c>
      <c r="F38" s="8">
        <v>0.3</v>
      </c>
      <c r="G38" s="4">
        <v>5848</v>
      </c>
      <c r="H38" s="8">
        <v>3.22</v>
      </c>
      <c r="I38" s="4">
        <v>66</v>
      </c>
    </row>
    <row r="39" spans="1:9" x14ac:dyDescent="0.2">
      <c r="A39" s="2">
        <v>15</v>
      </c>
      <c r="B39" s="1" t="s">
        <v>102</v>
      </c>
      <c r="C39" s="4">
        <v>6129</v>
      </c>
      <c r="D39" s="8">
        <v>2.2799999999999998</v>
      </c>
      <c r="E39" s="4">
        <v>1246</v>
      </c>
      <c r="F39" s="8">
        <v>1.43</v>
      </c>
      <c r="G39" s="4">
        <v>4848</v>
      </c>
      <c r="H39" s="8">
        <v>2.67</v>
      </c>
      <c r="I39" s="4">
        <v>4</v>
      </c>
    </row>
    <row r="40" spans="1:9" x14ac:dyDescent="0.2">
      <c r="A40" s="2">
        <v>16</v>
      </c>
      <c r="B40" s="1" t="s">
        <v>94</v>
      </c>
      <c r="C40" s="4">
        <v>6007</v>
      </c>
      <c r="D40" s="8">
        <v>2.23</v>
      </c>
      <c r="E40" s="4">
        <v>377</v>
      </c>
      <c r="F40" s="8">
        <v>0.43</v>
      </c>
      <c r="G40" s="4">
        <v>5626</v>
      </c>
      <c r="H40" s="8">
        <v>3.1</v>
      </c>
      <c r="I40" s="4">
        <v>4</v>
      </c>
    </row>
    <row r="41" spans="1:9" x14ac:dyDescent="0.2">
      <c r="A41" s="2">
        <v>17</v>
      </c>
      <c r="B41" s="1" t="s">
        <v>93</v>
      </c>
      <c r="C41" s="4">
        <v>4736</v>
      </c>
      <c r="D41" s="8">
        <v>1.76</v>
      </c>
      <c r="E41" s="4">
        <v>167</v>
      </c>
      <c r="F41" s="8">
        <v>0.19</v>
      </c>
      <c r="G41" s="4">
        <v>4568</v>
      </c>
      <c r="H41" s="8">
        <v>2.52</v>
      </c>
      <c r="I41" s="4">
        <v>1</v>
      </c>
    </row>
    <row r="42" spans="1:9" x14ac:dyDescent="0.2">
      <c r="A42" s="2">
        <v>18</v>
      </c>
      <c r="B42" s="1" t="s">
        <v>91</v>
      </c>
      <c r="C42" s="4">
        <v>4637</v>
      </c>
      <c r="D42" s="8">
        <v>1.72</v>
      </c>
      <c r="E42" s="4">
        <v>49</v>
      </c>
      <c r="F42" s="8">
        <v>0.06</v>
      </c>
      <c r="G42" s="4">
        <v>4586</v>
      </c>
      <c r="H42" s="8">
        <v>2.5299999999999998</v>
      </c>
      <c r="I42" s="4">
        <v>2</v>
      </c>
    </row>
    <row r="43" spans="1:9" x14ac:dyDescent="0.2">
      <c r="A43" s="2">
        <v>19</v>
      </c>
      <c r="B43" s="1" t="s">
        <v>92</v>
      </c>
      <c r="C43" s="4">
        <v>4246</v>
      </c>
      <c r="D43" s="8">
        <v>1.58</v>
      </c>
      <c r="E43" s="4">
        <v>173</v>
      </c>
      <c r="F43" s="8">
        <v>0.2</v>
      </c>
      <c r="G43" s="4">
        <v>4058</v>
      </c>
      <c r="H43" s="8">
        <v>2.2400000000000002</v>
      </c>
      <c r="I43" s="4">
        <v>15</v>
      </c>
    </row>
    <row r="44" spans="1:9" x14ac:dyDescent="0.2">
      <c r="A44" s="2">
        <v>20</v>
      </c>
      <c r="B44" s="1" t="s">
        <v>108</v>
      </c>
      <c r="C44" s="4">
        <v>4242</v>
      </c>
      <c r="D44" s="8">
        <v>1.58</v>
      </c>
      <c r="E44" s="4">
        <v>605</v>
      </c>
      <c r="F44" s="8">
        <v>0.69</v>
      </c>
      <c r="G44" s="4">
        <v>3637</v>
      </c>
      <c r="H44" s="8">
        <v>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101</v>
      </c>
      <c r="C47" s="4">
        <v>2589</v>
      </c>
      <c r="D47" s="8">
        <v>19.13</v>
      </c>
      <c r="E47" s="4">
        <v>1427</v>
      </c>
      <c r="F47" s="8">
        <v>53.11</v>
      </c>
      <c r="G47" s="4">
        <v>1159</v>
      </c>
      <c r="H47" s="8">
        <v>10.73</v>
      </c>
      <c r="I47" s="4">
        <v>3</v>
      </c>
    </row>
    <row r="48" spans="1:9" x14ac:dyDescent="0.2">
      <c r="A48" s="2">
        <v>2</v>
      </c>
      <c r="B48" s="1" t="s">
        <v>100</v>
      </c>
      <c r="C48" s="4">
        <v>1415</v>
      </c>
      <c r="D48" s="8">
        <v>10.46</v>
      </c>
      <c r="E48" s="4">
        <v>195</v>
      </c>
      <c r="F48" s="8">
        <v>7.26</v>
      </c>
      <c r="G48" s="4">
        <v>1218</v>
      </c>
      <c r="H48" s="8">
        <v>11.28</v>
      </c>
      <c r="I48" s="4">
        <v>2</v>
      </c>
    </row>
    <row r="49" spans="1:9" x14ac:dyDescent="0.2">
      <c r="A49" s="2">
        <v>3</v>
      </c>
      <c r="B49" s="1" t="s">
        <v>103</v>
      </c>
      <c r="C49" s="4">
        <v>970</v>
      </c>
      <c r="D49" s="8">
        <v>7.17</v>
      </c>
      <c r="E49" s="4">
        <v>409</v>
      </c>
      <c r="F49" s="8">
        <v>15.22</v>
      </c>
      <c r="G49" s="4">
        <v>560</v>
      </c>
      <c r="H49" s="8">
        <v>5.19</v>
      </c>
      <c r="I49" s="4">
        <v>1</v>
      </c>
    </row>
    <row r="50" spans="1:9" x14ac:dyDescent="0.2">
      <c r="A50" s="2">
        <v>4</v>
      </c>
      <c r="B50" s="1" t="s">
        <v>98</v>
      </c>
      <c r="C50" s="4">
        <v>582</v>
      </c>
      <c r="D50" s="8">
        <v>4.3</v>
      </c>
      <c r="E50" s="4">
        <v>105</v>
      </c>
      <c r="F50" s="8">
        <v>3.91</v>
      </c>
      <c r="G50" s="4">
        <v>477</v>
      </c>
      <c r="H50" s="8">
        <v>4.42</v>
      </c>
      <c r="I50" s="4">
        <v>0</v>
      </c>
    </row>
    <row r="51" spans="1:9" x14ac:dyDescent="0.2">
      <c r="A51" s="2">
        <v>5</v>
      </c>
      <c r="B51" s="1" t="s">
        <v>107</v>
      </c>
      <c r="C51" s="4">
        <v>544</v>
      </c>
      <c r="D51" s="8">
        <v>4.0199999999999996</v>
      </c>
      <c r="E51" s="4">
        <v>7</v>
      </c>
      <c r="F51" s="8">
        <v>0.26</v>
      </c>
      <c r="G51" s="4">
        <v>529</v>
      </c>
      <c r="H51" s="8">
        <v>4.9000000000000004</v>
      </c>
      <c r="I51" s="4">
        <v>8</v>
      </c>
    </row>
    <row r="52" spans="1:9" x14ac:dyDescent="0.2">
      <c r="A52" s="2">
        <v>6</v>
      </c>
      <c r="B52" s="1" t="s">
        <v>91</v>
      </c>
      <c r="C52" s="4">
        <v>511</v>
      </c>
      <c r="D52" s="8">
        <v>3.78</v>
      </c>
      <c r="E52" s="4">
        <v>5</v>
      </c>
      <c r="F52" s="8">
        <v>0.19</v>
      </c>
      <c r="G52" s="4">
        <v>506</v>
      </c>
      <c r="H52" s="8">
        <v>4.6900000000000004</v>
      </c>
      <c r="I52" s="4">
        <v>0</v>
      </c>
    </row>
    <row r="53" spans="1:9" x14ac:dyDescent="0.2">
      <c r="A53" s="2">
        <v>7</v>
      </c>
      <c r="B53" s="1" t="s">
        <v>92</v>
      </c>
      <c r="C53" s="4">
        <v>452</v>
      </c>
      <c r="D53" s="8">
        <v>3.34</v>
      </c>
      <c r="E53" s="4">
        <v>16</v>
      </c>
      <c r="F53" s="8">
        <v>0.6</v>
      </c>
      <c r="G53" s="4">
        <v>431</v>
      </c>
      <c r="H53" s="8">
        <v>3.99</v>
      </c>
      <c r="I53" s="4">
        <v>5</v>
      </c>
    </row>
    <row r="54" spans="1:9" x14ac:dyDescent="0.2">
      <c r="A54" s="2">
        <v>8</v>
      </c>
      <c r="B54" s="1" t="s">
        <v>93</v>
      </c>
      <c r="C54" s="4">
        <v>437</v>
      </c>
      <c r="D54" s="8">
        <v>3.23</v>
      </c>
      <c r="E54" s="4">
        <v>6</v>
      </c>
      <c r="F54" s="8">
        <v>0.22</v>
      </c>
      <c r="G54" s="4">
        <v>430</v>
      </c>
      <c r="H54" s="8">
        <v>3.98</v>
      </c>
      <c r="I54" s="4">
        <v>1</v>
      </c>
    </row>
    <row r="55" spans="1:9" x14ac:dyDescent="0.2">
      <c r="A55" s="2">
        <v>9</v>
      </c>
      <c r="B55" s="1" t="s">
        <v>94</v>
      </c>
      <c r="C55" s="4">
        <v>409</v>
      </c>
      <c r="D55" s="8">
        <v>3.02</v>
      </c>
      <c r="E55" s="4">
        <v>5</v>
      </c>
      <c r="F55" s="8">
        <v>0.19</v>
      </c>
      <c r="G55" s="4">
        <v>403</v>
      </c>
      <c r="H55" s="8">
        <v>3.73</v>
      </c>
      <c r="I55" s="4">
        <v>1</v>
      </c>
    </row>
    <row r="56" spans="1:9" x14ac:dyDescent="0.2">
      <c r="A56" s="2">
        <v>10</v>
      </c>
      <c r="B56" s="1" t="s">
        <v>99</v>
      </c>
      <c r="C56" s="4">
        <v>368</v>
      </c>
      <c r="D56" s="8">
        <v>2.72</v>
      </c>
      <c r="E56" s="4">
        <v>5</v>
      </c>
      <c r="F56" s="8">
        <v>0.19</v>
      </c>
      <c r="G56" s="4">
        <v>363</v>
      </c>
      <c r="H56" s="8">
        <v>3.36</v>
      </c>
      <c r="I56" s="4">
        <v>0</v>
      </c>
    </row>
    <row r="57" spans="1:9" x14ac:dyDescent="0.2">
      <c r="A57" s="2">
        <v>11</v>
      </c>
      <c r="B57" s="1" t="s">
        <v>110</v>
      </c>
      <c r="C57" s="4">
        <v>334</v>
      </c>
      <c r="D57" s="8">
        <v>2.4700000000000002</v>
      </c>
      <c r="E57" s="4">
        <v>2</v>
      </c>
      <c r="F57" s="8">
        <v>7.0000000000000007E-2</v>
      </c>
      <c r="G57" s="4">
        <v>332</v>
      </c>
      <c r="H57" s="8">
        <v>3.07</v>
      </c>
      <c r="I57" s="4">
        <v>0</v>
      </c>
    </row>
    <row r="58" spans="1:9" x14ac:dyDescent="0.2">
      <c r="A58" s="2">
        <v>12</v>
      </c>
      <c r="B58" s="1" t="s">
        <v>102</v>
      </c>
      <c r="C58" s="4">
        <v>327</v>
      </c>
      <c r="D58" s="8">
        <v>2.42</v>
      </c>
      <c r="E58" s="4">
        <v>38</v>
      </c>
      <c r="F58" s="8">
        <v>1.41</v>
      </c>
      <c r="G58" s="4">
        <v>287</v>
      </c>
      <c r="H58" s="8">
        <v>2.66</v>
      </c>
      <c r="I58" s="4">
        <v>1</v>
      </c>
    </row>
    <row r="59" spans="1:9" x14ac:dyDescent="0.2">
      <c r="A59" s="2">
        <v>13</v>
      </c>
      <c r="B59" s="1" t="s">
        <v>95</v>
      </c>
      <c r="C59" s="4">
        <v>324</v>
      </c>
      <c r="D59" s="8">
        <v>2.39</v>
      </c>
      <c r="E59" s="4">
        <v>27</v>
      </c>
      <c r="F59" s="8">
        <v>1</v>
      </c>
      <c r="G59" s="4">
        <v>297</v>
      </c>
      <c r="H59" s="8">
        <v>2.75</v>
      </c>
      <c r="I59" s="4">
        <v>0</v>
      </c>
    </row>
    <row r="60" spans="1:9" x14ac:dyDescent="0.2">
      <c r="A60" s="2">
        <v>14</v>
      </c>
      <c r="B60" s="1" t="s">
        <v>96</v>
      </c>
      <c r="C60" s="4">
        <v>287</v>
      </c>
      <c r="D60" s="8">
        <v>2.12</v>
      </c>
      <c r="E60" s="4">
        <v>35</v>
      </c>
      <c r="F60" s="8">
        <v>1.3</v>
      </c>
      <c r="G60" s="4">
        <v>252</v>
      </c>
      <c r="H60" s="8">
        <v>2.33</v>
      </c>
      <c r="I60" s="4">
        <v>0</v>
      </c>
    </row>
    <row r="61" spans="1:9" x14ac:dyDescent="0.2">
      <c r="A61" s="2">
        <v>15</v>
      </c>
      <c r="B61" s="1" t="s">
        <v>106</v>
      </c>
      <c r="C61" s="4">
        <v>280</v>
      </c>
      <c r="D61" s="8">
        <v>2.0699999999999998</v>
      </c>
      <c r="E61" s="4">
        <v>187</v>
      </c>
      <c r="F61" s="8">
        <v>6.96</v>
      </c>
      <c r="G61" s="4">
        <v>92</v>
      </c>
      <c r="H61" s="8">
        <v>0.85</v>
      </c>
      <c r="I61" s="4">
        <v>0</v>
      </c>
    </row>
    <row r="62" spans="1:9" x14ac:dyDescent="0.2">
      <c r="A62" s="2">
        <v>16</v>
      </c>
      <c r="B62" s="1" t="s">
        <v>105</v>
      </c>
      <c r="C62" s="4">
        <v>250</v>
      </c>
      <c r="D62" s="8">
        <v>1.85</v>
      </c>
      <c r="E62" s="4">
        <v>33</v>
      </c>
      <c r="F62" s="8">
        <v>1.23</v>
      </c>
      <c r="G62" s="4">
        <v>207</v>
      </c>
      <c r="H62" s="8">
        <v>1.92</v>
      </c>
      <c r="I62" s="4">
        <v>4</v>
      </c>
    </row>
    <row r="63" spans="1:9" x14ac:dyDescent="0.2">
      <c r="A63" s="2">
        <v>17</v>
      </c>
      <c r="B63" s="1" t="s">
        <v>108</v>
      </c>
      <c r="C63" s="4">
        <v>249</v>
      </c>
      <c r="D63" s="8">
        <v>1.84</v>
      </c>
      <c r="E63" s="4">
        <v>12</v>
      </c>
      <c r="F63" s="8">
        <v>0.45</v>
      </c>
      <c r="G63" s="4">
        <v>237</v>
      </c>
      <c r="H63" s="8">
        <v>2.19</v>
      </c>
      <c r="I63" s="4">
        <v>0</v>
      </c>
    </row>
    <row r="64" spans="1:9" x14ac:dyDescent="0.2">
      <c r="A64" s="2">
        <v>18</v>
      </c>
      <c r="B64" s="1" t="s">
        <v>111</v>
      </c>
      <c r="C64" s="4">
        <v>202</v>
      </c>
      <c r="D64" s="8">
        <v>1.49</v>
      </c>
      <c r="E64" s="4">
        <v>4</v>
      </c>
      <c r="F64" s="8">
        <v>0.15</v>
      </c>
      <c r="G64" s="4">
        <v>197</v>
      </c>
      <c r="H64" s="8">
        <v>1.82</v>
      </c>
      <c r="I64" s="4">
        <v>1</v>
      </c>
    </row>
    <row r="65" spans="1:9" x14ac:dyDescent="0.2">
      <c r="A65" s="2">
        <v>19</v>
      </c>
      <c r="B65" s="1" t="s">
        <v>109</v>
      </c>
      <c r="C65" s="4">
        <v>183</v>
      </c>
      <c r="D65" s="8">
        <v>1.35</v>
      </c>
      <c r="E65" s="4">
        <v>3</v>
      </c>
      <c r="F65" s="8">
        <v>0.11</v>
      </c>
      <c r="G65" s="4">
        <v>180</v>
      </c>
      <c r="H65" s="8">
        <v>1.67</v>
      </c>
      <c r="I65" s="4">
        <v>0</v>
      </c>
    </row>
    <row r="66" spans="1:9" x14ac:dyDescent="0.2">
      <c r="A66" s="2">
        <v>20</v>
      </c>
      <c r="B66" s="1" t="s">
        <v>89</v>
      </c>
      <c r="C66" s="4">
        <v>181</v>
      </c>
      <c r="D66" s="8">
        <v>1.34</v>
      </c>
      <c r="E66" s="4">
        <v>3</v>
      </c>
      <c r="F66" s="8">
        <v>0.11</v>
      </c>
      <c r="G66" s="4">
        <v>177</v>
      </c>
      <c r="H66" s="8">
        <v>1.64</v>
      </c>
      <c r="I66" s="4">
        <v>1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101</v>
      </c>
      <c r="C69" s="4">
        <v>2114</v>
      </c>
      <c r="D69" s="8">
        <v>14.45</v>
      </c>
      <c r="E69" s="4">
        <v>1123</v>
      </c>
      <c r="F69" s="8">
        <v>35.07</v>
      </c>
      <c r="G69" s="4">
        <v>990</v>
      </c>
      <c r="H69" s="8">
        <v>8.69</v>
      </c>
      <c r="I69" s="4">
        <v>1</v>
      </c>
    </row>
    <row r="70" spans="1:9" x14ac:dyDescent="0.2">
      <c r="A70" s="2">
        <v>2</v>
      </c>
      <c r="B70" s="1" t="s">
        <v>103</v>
      </c>
      <c r="C70" s="4">
        <v>1872</v>
      </c>
      <c r="D70" s="8">
        <v>12.8</v>
      </c>
      <c r="E70" s="4">
        <v>894</v>
      </c>
      <c r="F70" s="8">
        <v>27.92</v>
      </c>
      <c r="G70" s="4">
        <v>978</v>
      </c>
      <c r="H70" s="8">
        <v>8.58</v>
      </c>
      <c r="I70" s="4">
        <v>0</v>
      </c>
    </row>
    <row r="71" spans="1:9" x14ac:dyDescent="0.2">
      <c r="A71" s="2">
        <v>3</v>
      </c>
      <c r="B71" s="1" t="s">
        <v>100</v>
      </c>
      <c r="C71" s="4">
        <v>1325</v>
      </c>
      <c r="D71" s="8">
        <v>9.06</v>
      </c>
      <c r="E71" s="4">
        <v>147</v>
      </c>
      <c r="F71" s="8">
        <v>4.59</v>
      </c>
      <c r="G71" s="4">
        <v>1177</v>
      </c>
      <c r="H71" s="8">
        <v>10.33</v>
      </c>
      <c r="I71" s="4">
        <v>1</v>
      </c>
    </row>
    <row r="72" spans="1:9" x14ac:dyDescent="0.2">
      <c r="A72" s="2">
        <v>4</v>
      </c>
      <c r="B72" s="1" t="s">
        <v>98</v>
      </c>
      <c r="C72" s="4">
        <v>669</v>
      </c>
      <c r="D72" s="8">
        <v>4.57</v>
      </c>
      <c r="E72" s="4">
        <v>147</v>
      </c>
      <c r="F72" s="8">
        <v>4.59</v>
      </c>
      <c r="G72" s="4">
        <v>522</v>
      </c>
      <c r="H72" s="8">
        <v>4.58</v>
      </c>
      <c r="I72" s="4">
        <v>0</v>
      </c>
    </row>
    <row r="73" spans="1:9" x14ac:dyDescent="0.2">
      <c r="A73" s="2">
        <v>5</v>
      </c>
      <c r="B73" s="1" t="s">
        <v>107</v>
      </c>
      <c r="C73" s="4">
        <v>516</v>
      </c>
      <c r="D73" s="8">
        <v>3.53</v>
      </c>
      <c r="E73" s="4">
        <v>19</v>
      </c>
      <c r="F73" s="8">
        <v>0.59</v>
      </c>
      <c r="G73" s="4">
        <v>491</v>
      </c>
      <c r="H73" s="8">
        <v>4.3099999999999996</v>
      </c>
      <c r="I73" s="4">
        <v>5</v>
      </c>
    </row>
    <row r="74" spans="1:9" x14ac:dyDescent="0.2">
      <c r="A74" s="2">
        <v>6</v>
      </c>
      <c r="B74" s="1" t="s">
        <v>94</v>
      </c>
      <c r="C74" s="4">
        <v>485</v>
      </c>
      <c r="D74" s="8">
        <v>3.32</v>
      </c>
      <c r="E74" s="4">
        <v>12</v>
      </c>
      <c r="F74" s="8">
        <v>0.37</v>
      </c>
      <c r="G74" s="4">
        <v>471</v>
      </c>
      <c r="H74" s="8">
        <v>4.13</v>
      </c>
      <c r="I74" s="4">
        <v>2</v>
      </c>
    </row>
    <row r="75" spans="1:9" x14ac:dyDescent="0.2">
      <c r="A75" s="2">
        <v>7</v>
      </c>
      <c r="B75" s="1" t="s">
        <v>109</v>
      </c>
      <c r="C75" s="4">
        <v>457</v>
      </c>
      <c r="D75" s="8">
        <v>3.12</v>
      </c>
      <c r="E75" s="4">
        <v>12</v>
      </c>
      <c r="F75" s="8">
        <v>0.37</v>
      </c>
      <c r="G75" s="4">
        <v>445</v>
      </c>
      <c r="H75" s="8">
        <v>3.91</v>
      </c>
      <c r="I75" s="4">
        <v>0</v>
      </c>
    </row>
    <row r="76" spans="1:9" x14ac:dyDescent="0.2">
      <c r="A76" s="2">
        <v>8</v>
      </c>
      <c r="B76" s="1" t="s">
        <v>104</v>
      </c>
      <c r="C76" s="4">
        <v>413</v>
      </c>
      <c r="D76" s="8">
        <v>2.82</v>
      </c>
      <c r="E76" s="4">
        <v>193</v>
      </c>
      <c r="F76" s="8">
        <v>6.03</v>
      </c>
      <c r="G76" s="4">
        <v>220</v>
      </c>
      <c r="H76" s="8">
        <v>1.93</v>
      </c>
      <c r="I76" s="4">
        <v>0</v>
      </c>
    </row>
    <row r="77" spans="1:9" x14ac:dyDescent="0.2">
      <c r="A77" s="2">
        <v>9</v>
      </c>
      <c r="B77" s="1" t="s">
        <v>106</v>
      </c>
      <c r="C77" s="4">
        <v>402</v>
      </c>
      <c r="D77" s="8">
        <v>2.75</v>
      </c>
      <c r="E77" s="4">
        <v>285</v>
      </c>
      <c r="F77" s="8">
        <v>8.9</v>
      </c>
      <c r="G77" s="4">
        <v>117</v>
      </c>
      <c r="H77" s="8">
        <v>1.03</v>
      </c>
      <c r="I77" s="4">
        <v>0</v>
      </c>
    </row>
    <row r="78" spans="1:9" x14ac:dyDescent="0.2">
      <c r="A78" s="2">
        <v>10</v>
      </c>
      <c r="B78" s="1" t="s">
        <v>112</v>
      </c>
      <c r="C78" s="4">
        <v>400</v>
      </c>
      <c r="D78" s="8">
        <v>2.74</v>
      </c>
      <c r="E78" s="4">
        <v>22</v>
      </c>
      <c r="F78" s="8">
        <v>0.69</v>
      </c>
      <c r="G78" s="4">
        <v>378</v>
      </c>
      <c r="H78" s="8">
        <v>3.32</v>
      </c>
      <c r="I78" s="4">
        <v>0</v>
      </c>
    </row>
    <row r="79" spans="1:9" x14ac:dyDescent="0.2">
      <c r="A79" s="2">
        <v>11</v>
      </c>
      <c r="B79" s="1" t="s">
        <v>99</v>
      </c>
      <c r="C79" s="4">
        <v>370</v>
      </c>
      <c r="D79" s="8">
        <v>2.5299999999999998</v>
      </c>
      <c r="E79" s="4">
        <v>2</v>
      </c>
      <c r="F79" s="8">
        <v>0.06</v>
      </c>
      <c r="G79" s="4">
        <v>368</v>
      </c>
      <c r="H79" s="8">
        <v>3.23</v>
      </c>
      <c r="I79" s="4">
        <v>0</v>
      </c>
    </row>
    <row r="80" spans="1:9" x14ac:dyDescent="0.2">
      <c r="A80" s="2">
        <v>12</v>
      </c>
      <c r="B80" s="1" t="s">
        <v>95</v>
      </c>
      <c r="C80" s="4">
        <v>358</v>
      </c>
      <c r="D80" s="8">
        <v>2.4500000000000002</v>
      </c>
      <c r="E80" s="4">
        <v>41</v>
      </c>
      <c r="F80" s="8">
        <v>1.28</v>
      </c>
      <c r="G80" s="4">
        <v>317</v>
      </c>
      <c r="H80" s="8">
        <v>2.78</v>
      </c>
      <c r="I80" s="4">
        <v>0</v>
      </c>
    </row>
    <row r="81" spans="1:9" x14ac:dyDescent="0.2">
      <c r="A81" s="2">
        <v>13</v>
      </c>
      <c r="B81" s="1" t="s">
        <v>110</v>
      </c>
      <c r="C81" s="4">
        <v>351</v>
      </c>
      <c r="D81" s="8">
        <v>2.4</v>
      </c>
      <c r="E81" s="4">
        <v>0</v>
      </c>
      <c r="F81" s="8">
        <v>0</v>
      </c>
      <c r="G81" s="4">
        <v>351</v>
      </c>
      <c r="H81" s="8">
        <v>3.08</v>
      </c>
      <c r="I81" s="4">
        <v>0</v>
      </c>
    </row>
    <row r="82" spans="1:9" x14ac:dyDescent="0.2">
      <c r="A82" s="2">
        <v>14</v>
      </c>
      <c r="B82" s="1" t="s">
        <v>93</v>
      </c>
      <c r="C82" s="4">
        <v>348</v>
      </c>
      <c r="D82" s="8">
        <v>2.38</v>
      </c>
      <c r="E82" s="4">
        <v>3</v>
      </c>
      <c r="F82" s="8">
        <v>0.09</v>
      </c>
      <c r="G82" s="4">
        <v>345</v>
      </c>
      <c r="H82" s="8">
        <v>3.03</v>
      </c>
      <c r="I82" s="4">
        <v>0</v>
      </c>
    </row>
    <row r="83" spans="1:9" x14ac:dyDescent="0.2">
      <c r="A83" s="2">
        <v>15</v>
      </c>
      <c r="B83" s="1" t="s">
        <v>91</v>
      </c>
      <c r="C83" s="4">
        <v>342</v>
      </c>
      <c r="D83" s="8">
        <v>2.34</v>
      </c>
      <c r="E83" s="4">
        <v>1</v>
      </c>
      <c r="F83" s="8">
        <v>0.03</v>
      </c>
      <c r="G83" s="4">
        <v>339</v>
      </c>
      <c r="H83" s="8">
        <v>2.98</v>
      </c>
      <c r="I83" s="4">
        <v>2</v>
      </c>
    </row>
    <row r="84" spans="1:9" x14ac:dyDescent="0.2">
      <c r="A84" s="2">
        <v>16</v>
      </c>
      <c r="B84" s="1" t="s">
        <v>96</v>
      </c>
      <c r="C84" s="4">
        <v>336</v>
      </c>
      <c r="D84" s="8">
        <v>2.2999999999999998</v>
      </c>
      <c r="E84" s="4">
        <v>73</v>
      </c>
      <c r="F84" s="8">
        <v>2.2799999999999998</v>
      </c>
      <c r="G84" s="4">
        <v>263</v>
      </c>
      <c r="H84" s="8">
        <v>2.31</v>
      </c>
      <c r="I84" s="4">
        <v>0</v>
      </c>
    </row>
    <row r="85" spans="1:9" x14ac:dyDescent="0.2">
      <c r="A85" s="2">
        <v>17</v>
      </c>
      <c r="B85" s="1" t="s">
        <v>108</v>
      </c>
      <c r="C85" s="4">
        <v>298</v>
      </c>
      <c r="D85" s="8">
        <v>2.04</v>
      </c>
      <c r="E85" s="4">
        <v>22</v>
      </c>
      <c r="F85" s="8">
        <v>0.69</v>
      </c>
      <c r="G85" s="4">
        <v>276</v>
      </c>
      <c r="H85" s="8">
        <v>2.42</v>
      </c>
      <c r="I85" s="4">
        <v>0</v>
      </c>
    </row>
    <row r="86" spans="1:9" x14ac:dyDescent="0.2">
      <c r="A86" s="2">
        <v>18</v>
      </c>
      <c r="B86" s="1" t="s">
        <v>102</v>
      </c>
      <c r="C86" s="4">
        <v>279</v>
      </c>
      <c r="D86" s="8">
        <v>1.91</v>
      </c>
      <c r="E86" s="4">
        <v>33</v>
      </c>
      <c r="F86" s="8">
        <v>1.03</v>
      </c>
      <c r="G86" s="4">
        <v>244</v>
      </c>
      <c r="H86" s="8">
        <v>2.14</v>
      </c>
      <c r="I86" s="4">
        <v>0</v>
      </c>
    </row>
    <row r="87" spans="1:9" x14ac:dyDescent="0.2">
      <c r="A87" s="2">
        <v>19</v>
      </c>
      <c r="B87" s="1" t="s">
        <v>92</v>
      </c>
      <c r="C87" s="4">
        <v>269</v>
      </c>
      <c r="D87" s="8">
        <v>1.84</v>
      </c>
      <c r="E87" s="4">
        <v>7</v>
      </c>
      <c r="F87" s="8">
        <v>0.22</v>
      </c>
      <c r="G87" s="4">
        <v>260</v>
      </c>
      <c r="H87" s="8">
        <v>2.2799999999999998</v>
      </c>
      <c r="I87" s="4">
        <v>2</v>
      </c>
    </row>
    <row r="88" spans="1:9" x14ac:dyDescent="0.2">
      <c r="A88" s="2">
        <v>20</v>
      </c>
      <c r="B88" s="1" t="s">
        <v>105</v>
      </c>
      <c r="C88" s="4">
        <v>262</v>
      </c>
      <c r="D88" s="8">
        <v>1.79</v>
      </c>
      <c r="E88" s="4">
        <v>73</v>
      </c>
      <c r="F88" s="8">
        <v>2.2799999999999998</v>
      </c>
      <c r="G88" s="4">
        <v>188</v>
      </c>
      <c r="H88" s="8">
        <v>1.65</v>
      </c>
      <c r="I88" s="4">
        <v>1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101</v>
      </c>
      <c r="C91" s="4">
        <v>2762</v>
      </c>
      <c r="D91" s="8">
        <v>15.75</v>
      </c>
      <c r="E91" s="4">
        <v>1107</v>
      </c>
      <c r="F91" s="8">
        <v>34.090000000000003</v>
      </c>
      <c r="G91" s="4">
        <v>1649</v>
      </c>
      <c r="H91" s="8">
        <v>11.57</v>
      </c>
      <c r="I91" s="4">
        <v>6</v>
      </c>
    </row>
    <row r="92" spans="1:9" x14ac:dyDescent="0.2">
      <c r="A92" s="2">
        <v>2</v>
      </c>
      <c r="B92" s="1" t="s">
        <v>100</v>
      </c>
      <c r="C92" s="4">
        <v>1977</v>
      </c>
      <c r="D92" s="8">
        <v>11.27</v>
      </c>
      <c r="E92" s="4">
        <v>132</v>
      </c>
      <c r="F92" s="8">
        <v>4.07</v>
      </c>
      <c r="G92" s="4">
        <v>1844</v>
      </c>
      <c r="H92" s="8">
        <v>12.94</v>
      </c>
      <c r="I92" s="4">
        <v>1</v>
      </c>
    </row>
    <row r="93" spans="1:9" x14ac:dyDescent="0.2">
      <c r="A93" s="2">
        <v>3</v>
      </c>
      <c r="B93" s="1" t="s">
        <v>103</v>
      </c>
      <c r="C93" s="4">
        <v>1917</v>
      </c>
      <c r="D93" s="8">
        <v>10.93</v>
      </c>
      <c r="E93" s="4">
        <v>835</v>
      </c>
      <c r="F93" s="8">
        <v>25.72</v>
      </c>
      <c r="G93" s="4">
        <v>1082</v>
      </c>
      <c r="H93" s="8">
        <v>7.59</v>
      </c>
      <c r="I93" s="4">
        <v>0</v>
      </c>
    </row>
    <row r="94" spans="1:9" x14ac:dyDescent="0.2">
      <c r="A94" s="2">
        <v>4</v>
      </c>
      <c r="B94" s="1" t="s">
        <v>107</v>
      </c>
      <c r="C94" s="4">
        <v>799</v>
      </c>
      <c r="D94" s="8">
        <v>4.5599999999999996</v>
      </c>
      <c r="E94" s="4">
        <v>12</v>
      </c>
      <c r="F94" s="8">
        <v>0.37</v>
      </c>
      <c r="G94" s="4">
        <v>771</v>
      </c>
      <c r="H94" s="8">
        <v>5.41</v>
      </c>
      <c r="I94" s="4">
        <v>14</v>
      </c>
    </row>
    <row r="95" spans="1:9" x14ac:dyDescent="0.2">
      <c r="A95" s="2">
        <v>5</v>
      </c>
      <c r="B95" s="1" t="s">
        <v>98</v>
      </c>
      <c r="C95" s="4">
        <v>642</v>
      </c>
      <c r="D95" s="8">
        <v>3.66</v>
      </c>
      <c r="E95" s="4">
        <v>123</v>
      </c>
      <c r="F95" s="8">
        <v>3.79</v>
      </c>
      <c r="G95" s="4">
        <v>519</v>
      </c>
      <c r="H95" s="8">
        <v>3.64</v>
      </c>
      <c r="I95" s="4">
        <v>0</v>
      </c>
    </row>
    <row r="96" spans="1:9" x14ac:dyDescent="0.2">
      <c r="A96" s="2">
        <v>6</v>
      </c>
      <c r="B96" s="1" t="s">
        <v>99</v>
      </c>
      <c r="C96" s="4">
        <v>605</v>
      </c>
      <c r="D96" s="8">
        <v>3.45</v>
      </c>
      <c r="E96" s="4">
        <v>5</v>
      </c>
      <c r="F96" s="8">
        <v>0.15</v>
      </c>
      <c r="G96" s="4">
        <v>600</v>
      </c>
      <c r="H96" s="8">
        <v>4.21</v>
      </c>
      <c r="I96" s="4">
        <v>0</v>
      </c>
    </row>
    <row r="97" spans="1:9" x14ac:dyDescent="0.2">
      <c r="A97" s="2">
        <v>7</v>
      </c>
      <c r="B97" s="1" t="s">
        <v>104</v>
      </c>
      <c r="C97" s="4">
        <v>598</v>
      </c>
      <c r="D97" s="8">
        <v>3.41</v>
      </c>
      <c r="E97" s="4">
        <v>273</v>
      </c>
      <c r="F97" s="8">
        <v>8.41</v>
      </c>
      <c r="G97" s="4">
        <v>325</v>
      </c>
      <c r="H97" s="8">
        <v>2.2799999999999998</v>
      </c>
      <c r="I97" s="4">
        <v>0</v>
      </c>
    </row>
    <row r="98" spans="1:9" x14ac:dyDescent="0.2">
      <c r="A98" s="2">
        <v>8</v>
      </c>
      <c r="B98" s="1" t="s">
        <v>106</v>
      </c>
      <c r="C98" s="4">
        <v>518</v>
      </c>
      <c r="D98" s="8">
        <v>2.95</v>
      </c>
      <c r="E98" s="4">
        <v>358</v>
      </c>
      <c r="F98" s="8">
        <v>11.03</v>
      </c>
      <c r="G98" s="4">
        <v>159</v>
      </c>
      <c r="H98" s="8">
        <v>1.1200000000000001</v>
      </c>
      <c r="I98" s="4">
        <v>1</v>
      </c>
    </row>
    <row r="99" spans="1:9" x14ac:dyDescent="0.2">
      <c r="A99" s="2">
        <v>9</v>
      </c>
      <c r="B99" s="1" t="s">
        <v>92</v>
      </c>
      <c r="C99" s="4">
        <v>510</v>
      </c>
      <c r="D99" s="8">
        <v>2.91</v>
      </c>
      <c r="E99" s="4">
        <v>14</v>
      </c>
      <c r="F99" s="8">
        <v>0.43</v>
      </c>
      <c r="G99" s="4">
        <v>494</v>
      </c>
      <c r="H99" s="8">
        <v>3.47</v>
      </c>
      <c r="I99" s="4">
        <v>2</v>
      </c>
    </row>
    <row r="100" spans="1:9" x14ac:dyDescent="0.2">
      <c r="A100" s="2">
        <v>10</v>
      </c>
      <c r="B100" s="1" t="s">
        <v>91</v>
      </c>
      <c r="C100" s="4">
        <v>499</v>
      </c>
      <c r="D100" s="8">
        <v>2.85</v>
      </c>
      <c r="E100" s="4">
        <v>1</v>
      </c>
      <c r="F100" s="8">
        <v>0.03</v>
      </c>
      <c r="G100" s="4">
        <v>498</v>
      </c>
      <c r="H100" s="8">
        <v>3.49</v>
      </c>
      <c r="I100" s="4">
        <v>0</v>
      </c>
    </row>
    <row r="101" spans="1:9" x14ac:dyDescent="0.2">
      <c r="A101" s="2">
        <v>11</v>
      </c>
      <c r="B101" s="1" t="s">
        <v>102</v>
      </c>
      <c r="C101" s="4">
        <v>439</v>
      </c>
      <c r="D101" s="8">
        <v>2.5</v>
      </c>
      <c r="E101" s="4">
        <v>48</v>
      </c>
      <c r="F101" s="8">
        <v>1.48</v>
      </c>
      <c r="G101" s="4">
        <v>388</v>
      </c>
      <c r="H101" s="8">
        <v>2.72</v>
      </c>
      <c r="I101" s="4">
        <v>1</v>
      </c>
    </row>
    <row r="102" spans="1:9" x14ac:dyDescent="0.2">
      <c r="A102" s="2">
        <v>12</v>
      </c>
      <c r="B102" s="1" t="s">
        <v>93</v>
      </c>
      <c r="C102" s="4">
        <v>410</v>
      </c>
      <c r="D102" s="8">
        <v>2.34</v>
      </c>
      <c r="E102" s="4">
        <v>2</v>
      </c>
      <c r="F102" s="8">
        <v>0.06</v>
      </c>
      <c r="G102" s="4">
        <v>408</v>
      </c>
      <c r="H102" s="8">
        <v>2.86</v>
      </c>
      <c r="I102" s="4">
        <v>0</v>
      </c>
    </row>
    <row r="103" spans="1:9" x14ac:dyDescent="0.2">
      <c r="A103" s="2">
        <v>13</v>
      </c>
      <c r="B103" s="1" t="s">
        <v>94</v>
      </c>
      <c r="C103" s="4">
        <v>398</v>
      </c>
      <c r="D103" s="8">
        <v>2.27</v>
      </c>
      <c r="E103" s="4">
        <v>8</v>
      </c>
      <c r="F103" s="8">
        <v>0.25</v>
      </c>
      <c r="G103" s="4">
        <v>390</v>
      </c>
      <c r="H103" s="8">
        <v>2.74</v>
      </c>
      <c r="I103" s="4">
        <v>0</v>
      </c>
    </row>
    <row r="104" spans="1:9" x14ac:dyDescent="0.2">
      <c r="A104" s="2">
        <v>14</v>
      </c>
      <c r="B104" s="1" t="s">
        <v>105</v>
      </c>
      <c r="C104" s="4">
        <v>355</v>
      </c>
      <c r="D104" s="8">
        <v>2.02</v>
      </c>
      <c r="E104" s="4">
        <v>70</v>
      </c>
      <c r="F104" s="8">
        <v>2.16</v>
      </c>
      <c r="G104" s="4">
        <v>282</v>
      </c>
      <c r="H104" s="8">
        <v>1.98</v>
      </c>
      <c r="I104" s="4">
        <v>3</v>
      </c>
    </row>
    <row r="105" spans="1:9" x14ac:dyDescent="0.2">
      <c r="A105" s="2">
        <v>15</v>
      </c>
      <c r="B105" s="1" t="s">
        <v>114</v>
      </c>
      <c r="C105" s="4">
        <v>338</v>
      </c>
      <c r="D105" s="8">
        <v>1.93</v>
      </c>
      <c r="E105" s="4">
        <v>17</v>
      </c>
      <c r="F105" s="8">
        <v>0.52</v>
      </c>
      <c r="G105" s="4">
        <v>320</v>
      </c>
      <c r="H105" s="8">
        <v>2.25</v>
      </c>
      <c r="I105" s="4">
        <v>1</v>
      </c>
    </row>
    <row r="106" spans="1:9" x14ac:dyDescent="0.2">
      <c r="A106" s="2">
        <v>16</v>
      </c>
      <c r="B106" s="1" t="s">
        <v>95</v>
      </c>
      <c r="C106" s="4">
        <v>325</v>
      </c>
      <c r="D106" s="8">
        <v>1.85</v>
      </c>
      <c r="E106" s="4">
        <v>43</v>
      </c>
      <c r="F106" s="8">
        <v>1.32</v>
      </c>
      <c r="G106" s="4">
        <v>282</v>
      </c>
      <c r="H106" s="8">
        <v>1.98</v>
      </c>
      <c r="I106" s="4">
        <v>0</v>
      </c>
    </row>
    <row r="107" spans="1:9" x14ac:dyDescent="0.2">
      <c r="A107" s="2">
        <v>17</v>
      </c>
      <c r="B107" s="1" t="s">
        <v>96</v>
      </c>
      <c r="C107" s="4">
        <v>320</v>
      </c>
      <c r="D107" s="8">
        <v>1.82</v>
      </c>
      <c r="E107" s="4">
        <v>57</v>
      </c>
      <c r="F107" s="8">
        <v>1.76</v>
      </c>
      <c r="G107" s="4">
        <v>263</v>
      </c>
      <c r="H107" s="8">
        <v>1.85</v>
      </c>
      <c r="I107" s="4">
        <v>0</v>
      </c>
    </row>
    <row r="108" spans="1:9" x14ac:dyDescent="0.2">
      <c r="A108" s="2">
        <v>18</v>
      </c>
      <c r="B108" s="1" t="s">
        <v>110</v>
      </c>
      <c r="C108" s="4">
        <v>279</v>
      </c>
      <c r="D108" s="8">
        <v>1.59</v>
      </c>
      <c r="E108" s="4">
        <v>3</v>
      </c>
      <c r="F108" s="8">
        <v>0.09</v>
      </c>
      <c r="G108" s="4">
        <v>276</v>
      </c>
      <c r="H108" s="8">
        <v>1.94</v>
      </c>
      <c r="I108" s="4">
        <v>0</v>
      </c>
    </row>
    <row r="109" spans="1:9" x14ac:dyDescent="0.2">
      <c r="A109" s="2">
        <v>19</v>
      </c>
      <c r="B109" s="1" t="s">
        <v>109</v>
      </c>
      <c r="C109" s="4">
        <v>261</v>
      </c>
      <c r="D109" s="8">
        <v>1.49</v>
      </c>
      <c r="E109" s="4">
        <v>9</v>
      </c>
      <c r="F109" s="8">
        <v>0.28000000000000003</v>
      </c>
      <c r="G109" s="4">
        <v>251</v>
      </c>
      <c r="H109" s="8">
        <v>1.76</v>
      </c>
      <c r="I109" s="4">
        <v>1</v>
      </c>
    </row>
    <row r="110" spans="1:9" x14ac:dyDescent="0.2">
      <c r="A110" s="2">
        <v>20</v>
      </c>
      <c r="B110" s="1" t="s">
        <v>113</v>
      </c>
      <c r="C110" s="4">
        <v>247</v>
      </c>
      <c r="D110" s="8">
        <v>1.41</v>
      </c>
      <c r="E110" s="4">
        <v>2</v>
      </c>
      <c r="F110" s="8">
        <v>0.06</v>
      </c>
      <c r="G110" s="4">
        <v>245</v>
      </c>
      <c r="H110" s="8">
        <v>1.72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103</v>
      </c>
      <c r="C113" s="4">
        <v>2284</v>
      </c>
      <c r="D113" s="8">
        <v>14.56</v>
      </c>
      <c r="E113" s="4">
        <v>1444</v>
      </c>
      <c r="F113" s="8">
        <v>31.07</v>
      </c>
      <c r="G113" s="4">
        <v>839</v>
      </c>
      <c r="H113" s="8">
        <v>7.62</v>
      </c>
      <c r="I113" s="4">
        <v>1</v>
      </c>
    </row>
    <row r="114" spans="1:9" x14ac:dyDescent="0.2">
      <c r="A114" s="2">
        <v>2</v>
      </c>
      <c r="B114" s="1" t="s">
        <v>100</v>
      </c>
      <c r="C114" s="4">
        <v>2068</v>
      </c>
      <c r="D114" s="8">
        <v>13.18</v>
      </c>
      <c r="E114" s="4">
        <v>508</v>
      </c>
      <c r="F114" s="8">
        <v>10.93</v>
      </c>
      <c r="G114" s="4">
        <v>1557</v>
      </c>
      <c r="H114" s="8">
        <v>14.15</v>
      </c>
      <c r="I114" s="4">
        <v>3</v>
      </c>
    </row>
    <row r="115" spans="1:9" x14ac:dyDescent="0.2">
      <c r="A115" s="2">
        <v>3</v>
      </c>
      <c r="B115" s="1" t="s">
        <v>101</v>
      </c>
      <c r="C115" s="4">
        <v>1844</v>
      </c>
      <c r="D115" s="8">
        <v>11.75</v>
      </c>
      <c r="E115" s="4">
        <v>962</v>
      </c>
      <c r="F115" s="8">
        <v>20.7</v>
      </c>
      <c r="G115" s="4">
        <v>880</v>
      </c>
      <c r="H115" s="8">
        <v>8</v>
      </c>
      <c r="I115" s="4">
        <v>2</v>
      </c>
    </row>
    <row r="116" spans="1:9" x14ac:dyDescent="0.2">
      <c r="A116" s="2">
        <v>4</v>
      </c>
      <c r="B116" s="1" t="s">
        <v>104</v>
      </c>
      <c r="C116" s="4">
        <v>700</v>
      </c>
      <c r="D116" s="8">
        <v>4.46</v>
      </c>
      <c r="E116" s="4">
        <v>398</v>
      </c>
      <c r="F116" s="8">
        <v>8.56</v>
      </c>
      <c r="G116" s="4">
        <v>302</v>
      </c>
      <c r="H116" s="8">
        <v>2.74</v>
      </c>
      <c r="I116" s="4">
        <v>0</v>
      </c>
    </row>
    <row r="117" spans="1:9" x14ac:dyDescent="0.2">
      <c r="A117" s="2">
        <v>5</v>
      </c>
      <c r="B117" s="1" t="s">
        <v>98</v>
      </c>
      <c r="C117" s="4">
        <v>670</v>
      </c>
      <c r="D117" s="8">
        <v>4.2699999999999996</v>
      </c>
      <c r="E117" s="4">
        <v>191</v>
      </c>
      <c r="F117" s="8">
        <v>4.1100000000000003</v>
      </c>
      <c r="G117" s="4">
        <v>479</v>
      </c>
      <c r="H117" s="8">
        <v>4.3499999999999996</v>
      </c>
      <c r="I117" s="4">
        <v>0</v>
      </c>
    </row>
    <row r="118" spans="1:9" x14ac:dyDescent="0.2">
      <c r="A118" s="2">
        <v>6</v>
      </c>
      <c r="B118" s="1" t="s">
        <v>99</v>
      </c>
      <c r="C118" s="4">
        <v>555</v>
      </c>
      <c r="D118" s="8">
        <v>3.54</v>
      </c>
      <c r="E118" s="4">
        <v>17</v>
      </c>
      <c r="F118" s="8">
        <v>0.37</v>
      </c>
      <c r="G118" s="4">
        <v>538</v>
      </c>
      <c r="H118" s="8">
        <v>4.8899999999999997</v>
      </c>
      <c r="I118" s="4">
        <v>0</v>
      </c>
    </row>
    <row r="119" spans="1:9" x14ac:dyDescent="0.2">
      <c r="A119" s="2">
        <v>7</v>
      </c>
      <c r="B119" s="1" t="s">
        <v>106</v>
      </c>
      <c r="C119" s="4">
        <v>518</v>
      </c>
      <c r="D119" s="8">
        <v>3.3</v>
      </c>
      <c r="E119" s="4">
        <v>385</v>
      </c>
      <c r="F119" s="8">
        <v>8.2799999999999994</v>
      </c>
      <c r="G119" s="4">
        <v>133</v>
      </c>
      <c r="H119" s="8">
        <v>1.21</v>
      </c>
      <c r="I119" s="4">
        <v>0</v>
      </c>
    </row>
    <row r="120" spans="1:9" x14ac:dyDescent="0.2">
      <c r="A120" s="2">
        <v>8</v>
      </c>
      <c r="B120" s="1" t="s">
        <v>102</v>
      </c>
      <c r="C120" s="4">
        <v>495</v>
      </c>
      <c r="D120" s="8">
        <v>3.16</v>
      </c>
      <c r="E120" s="4">
        <v>81</v>
      </c>
      <c r="F120" s="8">
        <v>1.74</v>
      </c>
      <c r="G120" s="4">
        <v>413</v>
      </c>
      <c r="H120" s="8">
        <v>3.75</v>
      </c>
      <c r="I120" s="4">
        <v>0</v>
      </c>
    </row>
    <row r="121" spans="1:9" x14ac:dyDescent="0.2">
      <c r="A121" s="2">
        <v>9</v>
      </c>
      <c r="B121" s="1" t="s">
        <v>92</v>
      </c>
      <c r="C121" s="4">
        <v>443</v>
      </c>
      <c r="D121" s="8">
        <v>2.82</v>
      </c>
      <c r="E121" s="4">
        <v>26</v>
      </c>
      <c r="F121" s="8">
        <v>0.56000000000000005</v>
      </c>
      <c r="G121" s="4">
        <v>412</v>
      </c>
      <c r="H121" s="8">
        <v>3.74</v>
      </c>
      <c r="I121" s="4">
        <v>5</v>
      </c>
    </row>
    <row r="122" spans="1:9" x14ac:dyDescent="0.2">
      <c r="A122" s="2">
        <v>10</v>
      </c>
      <c r="B122" s="1" t="s">
        <v>107</v>
      </c>
      <c r="C122" s="4">
        <v>433</v>
      </c>
      <c r="D122" s="8">
        <v>2.76</v>
      </c>
      <c r="E122" s="4">
        <v>16</v>
      </c>
      <c r="F122" s="8">
        <v>0.34</v>
      </c>
      <c r="G122" s="4">
        <v>411</v>
      </c>
      <c r="H122" s="8">
        <v>3.73</v>
      </c>
      <c r="I122" s="4">
        <v>6</v>
      </c>
    </row>
    <row r="123" spans="1:9" x14ac:dyDescent="0.2">
      <c r="A123" s="2">
        <v>11</v>
      </c>
      <c r="B123" s="1" t="s">
        <v>95</v>
      </c>
      <c r="C123" s="4">
        <v>411</v>
      </c>
      <c r="D123" s="8">
        <v>2.62</v>
      </c>
      <c r="E123" s="4">
        <v>63</v>
      </c>
      <c r="F123" s="8">
        <v>1.36</v>
      </c>
      <c r="G123" s="4">
        <v>348</v>
      </c>
      <c r="H123" s="8">
        <v>3.16</v>
      </c>
      <c r="I123" s="4">
        <v>0</v>
      </c>
    </row>
    <row r="124" spans="1:9" x14ac:dyDescent="0.2">
      <c r="A124" s="2">
        <v>12</v>
      </c>
      <c r="B124" s="1" t="s">
        <v>105</v>
      </c>
      <c r="C124" s="4">
        <v>404</v>
      </c>
      <c r="D124" s="8">
        <v>2.58</v>
      </c>
      <c r="E124" s="4">
        <v>147</v>
      </c>
      <c r="F124" s="8">
        <v>3.16</v>
      </c>
      <c r="G124" s="4">
        <v>252</v>
      </c>
      <c r="H124" s="8">
        <v>2.29</v>
      </c>
      <c r="I124" s="4">
        <v>4</v>
      </c>
    </row>
    <row r="125" spans="1:9" x14ac:dyDescent="0.2">
      <c r="A125" s="2">
        <v>13</v>
      </c>
      <c r="B125" s="1" t="s">
        <v>91</v>
      </c>
      <c r="C125" s="4">
        <v>396</v>
      </c>
      <c r="D125" s="8">
        <v>2.52</v>
      </c>
      <c r="E125" s="4">
        <v>6</v>
      </c>
      <c r="F125" s="8">
        <v>0.13</v>
      </c>
      <c r="G125" s="4">
        <v>390</v>
      </c>
      <c r="H125" s="8">
        <v>3.54</v>
      </c>
      <c r="I125" s="4">
        <v>0</v>
      </c>
    </row>
    <row r="126" spans="1:9" x14ac:dyDescent="0.2">
      <c r="A126" s="2">
        <v>14</v>
      </c>
      <c r="B126" s="1" t="s">
        <v>108</v>
      </c>
      <c r="C126" s="4">
        <v>349</v>
      </c>
      <c r="D126" s="8">
        <v>2.2200000000000002</v>
      </c>
      <c r="E126" s="4">
        <v>27</v>
      </c>
      <c r="F126" s="8">
        <v>0.57999999999999996</v>
      </c>
      <c r="G126" s="4">
        <v>322</v>
      </c>
      <c r="H126" s="8">
        <v>2.93</v>
      </c>
      <c r="I126" s="4">
        <v>0</v>
      </c>
    </row>
    <row r="127" spans="1:9" x14ac:dyDescent="0.2">
      <c r="A127" s="2">
        <v>14</v>
      </c>
      <c r="B127" s="1" t="s">
        <v>96</v>
      </c>
      <c r="C127" s="4">
        <v>349</v>
      </c>
      <c r="D127" s="8">
        <v>2.2200000000000002</v>
      </c>
      <c r="E127" s="4">
        <v>106</v>
      </c>
      <c r="F127" s="8">
        <v>2.2799999999999998</v>
      </c>
      <c r="G127" s="4">
        <v>243</v>
      </c>
      <c r="H127" s="8">
        <v>2.21</v>
      </c>
      <c r="I127" s="4">
        <v>0</v>
      </c>
    </row>
    <row r="128" spans="1:9" x14ac:dyDescent="0.2">
      <c r="A128" s="2">
        <v>16</v>
      </c>
      <c r="B128" s="1" t="s">
        <v>94</v>
      </c>
      <c r="C128" s="4">
        <v>269</v>
      </c>
      <c r="D128" s="8">
        <v>1.71</v>
      </c>
      <c r="E128" s="4">
        <v>7</v>
      </c>
      <c r="F128" s="8">
        <v>0.15</v>
      </c>
      <c r="G128" s="4">
        <v>262</v>
      </c>
      <c r="H128" s="8">
        <v>2.38</v>
      </c>
      <c r="I128" s="4">
        <v>0</v>
      </c>
    </row>
    <row r="129" spans="1:9" x14ac:dyDescent="0.2">
      <c r="A129" s="2">
        <v>17</v>
      </c>
      <c r="B129" s="1" t="s">
        <v>88</v>
      </c>
      <c r="C129" s="4">
        <v>266</v>
      </c>
      <c r="D129" s="8">
        <v>1.7</v>
      </c>
      <c r="E129" s="4">
        <v>12</v>
      </c>
      <c r="F129" s="8">
        <v>0.26</v>
      </c>
      <c r="G129" s="4">
        <v>254</v>
      </c>
      <c r="H129" s="8">
        <v>2.31</v>
      </c>
      <c r="I129" s="4">
        <v>0</v>
      </c>
    </row>
    <row r="130" spans="1:9" x14ac:dyDescent="0.2">
      <c r="A130" s="2">
        <v>18</v>
      </c>
      <c r="B130" s="1" t="s">
        <v>89</v>
      </c>
      <c r="C130" s="4">
        <v>264</v>
      </c>
      <c r="D130" s="8">
        <v>1.68</v>
      </c>
      <c r="E130" s="4">
        <v>23</v>
      </c>
      <c r="F130" s="8">
        <v>0.49</v>
      </c>
      <c r="G130" s="4">
        <v>241</v>
      </c>
      <c r="H130" s="8">
        <v>2.19</v>
      </c>
      <c r="I130" s="4">
        <v>0</v>
      </c>
    </row>
    <row r="131" spans="1:9" x14ac:dyDescent="0.2">
      <c r="A131" s="2">
        <v>19</v>
      </c>
      <c r="B131" s="1" t="s">
        <v>115</v>
      </c>
      <c r="C131" s="4">
        <v>215</v>
      </c>
      <c r="D131" s="8">
        <v>1.37</v>
      </c>
      <c r="E131" s="4">
        <v>35</v>
      </c>
      <c r="F131" s="8">
        <v>0.75</v>
      </c>
      <c r="G131" s="4">
        <v>180</v>
      </c>
      <c r="H131" s="8">
        <v>1.64</v>
      </c>
      <c r="I131" s="4">
        <v>0</v>
      </c>
    </row>
    <row r="132" spans="1:9" x14ac:dyDescent="0.2">
      <c r="A132" s="2">
        <v>20</v>
      </c>
      <c r="B132" s="1" t="s">
        <v>90</v>
      </c>
      <c r="C132" s="4">
        <v>213</v>
      </c>
      <c r="D132" s="8">
        <v>1.36</v>
      </c>
      <c r="E132" s="4">
        <v>4</v>
      </c>
      <c r="F132" s="8">
        <v>0.09</v>
      </c>
      <c r="G132" s="4">
        <v>209</v>
      </c>
      <c r="H132" s="8">
        <v>1.9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100</v>
      </c>
      <c r="C135" s="4">
        <v>1270</v>
      </c>
      <c r="D135" s="8">
        <v>16.690000000000001</v>
      </c>
      <c r="E135" s="4">
        <v>413</v>
      </c>
      <c r="F135" s="8">
        <v>16.75</v>
      </c>
      <c r="G135" s="4">
        <v>857</v>
      </c>
      <c r="H135" s="8">
        <v>16.72</v>
      </c>
      <c r="I135" s="4">
        <v>0</v>
      </c>
    </row>
    <row r="136" spans="1:9" x14ac:dyDescent="0.2">
      <c r="A136" s="2">
        <v>2</v>
      </c>
      <c r="B136" s="1" t="s">
        <v>103</v>
      </c>
      <c r="C136" s="4">
        <v>756</v>
      </c>
      <c r="D136" s="8">
        <v>9.94</v>
      </c>
      <c r="E136" s="4">
        <v>499</v>
      </c>
      <c r="F136" s="8">
        <v>20.239999999999998</v>
      </c>
      <c r="G136" s="4">
        <v>257</v>
      </c>
      <c r="H136" s="8">
        <v>5.01</v>
      </c>
      <c r="I136" s="4">
        <v>0</v>
      </c>
    </row>
    <row r="137" spans="1:9" x14ac:dyDescent="0.2">
      <c r="A137" s="2">
        <v>3</v>
      </c>
      <c r="B137" s="1" t="s">
        <v>101</v>
      </c>
      <c r="C137" s="4">
        <v>715</v>
      </c>
      <c r="D137" s="8">
        <v>9.4</v>
      </c>
      <c r="E137" s="4">
        <v>316</v>
      </c>
      <c r="F137" s="8">
        <v>12.81</v>
      </c>
      <c r="G137" s="4">
        <v>399</v>
      </c>
      <c r="H137" s="8">
        <v>7.78</v>
      </c>
      <c r="I137" s="4">
        <v>0</v>
      </c>
    </row>
    <row r="138" spans="1:9" x14ac:dyDescent="0.2">
      <c r="A138" s="2">
        <v>4</v>
      </c>
      <c r="B138" s="1" t="s">
        <v>98</v>
      </c>
      <c r="C138" s="4">
        <v>375</v>
      </c>
      <c r="D138" s="8">
        <v>4.93</v>
      </c>
      <c r="E138" s="4">
        <v>151</v>
      </c>
      <c r="F138" s="8">
        <v>6.12</v>
      </c>
      <c r="G138" s="4">
        <v>224</v>
      </c>
      <c r="H138" s="8">
        <v>4.37</v>
      </c>
      <c r="I138" s="4">
        <v>0</v>
      </c>
    </row>
    <row r="139" spans="1:9" x14ac:dyDescent="0.2">
      <c r="A139" s="2">
        <v>5</v>
      </c>
      <c r="B139" s="1" t="s">
        <v>104</v>
      </c>
      <c r="C139" s="4">
        <v>340</v>
      </c>
      <c r="D139" s="8">
        <v>4.47</v>
      </c>
      <c r="E139" s="4">
        <v>228</v>
      </c>
      <c r="F139" s="8">
        <v>9.25</v>
      </c>
      <c r="G139" s="4">
        <v>112</v>
      </c>
      <c r="H139" s="8">
        <v>2.1800000000000002</v>
      </c>
      <c r="I139" s="4">
        <v>0</v>
      </c>
    </row>
    <row r="140" spans="1:9" x14ac:dyDescent="0.2">
      <c r="A140" s="2">
        <v>6</v>
      </c>
      <c r="B140" s="1" t="s">
        <v>108</v>
      </c>
      <c r="C140" s="4">
        <v>338</v>
      </c>
      <c r="D140" s="8">
        <v>4.4400000000000004</v>
      </c>
      <c r="E140" s="4">
        <v>38</v>
      </c>
      <c r="F140" s="8">
        <v>1.54</v>
      </c>
      <c r="G140" s="4">
        <v>300</v>
      </c>
      <c r="H140" s="8">
        <v>5.85</v>
      </c>
      <c r="I140" s="4">
        <v>0</v>
      </c>
    </row>
    <row r="141" spans="1:9" x14ac:dyDescent="0.2">
      <c r="A141" s="2">
        <v>7</v>
      </c>
      <c r="B141" s="1" t="s">
        <v>106</v>
      </c>
      <c r="C141" s="4">
        <v>266</v>
      </c>
      <c r="D141" s="8">
        <v>3.5</v>
      </c>
      <c r="E141" s="4">
        <v>205</v>
      </c>
      <c r="F141" s="8">
        <v>8.31</v>
      </c>
      <c r="G141" s="4">
        <v>61</v>
      </c>
      <c r="H141" s="8">
        <v>1.19</v>
      </c>
      <c r="I141" s="4">
        <v>0</v>
      </c>
    </row>
    <row r="142" spans="1:9" x14ac:dyDescent="0.2">
      <c r="A142" s="2">
        <v>8</v>
      </c>
      <c r="B142" s="1" t="s">
        <v>96</v>
      </c>
      <c r="C142" s="4">
        <v>242</v>
      </c>
      <c r="D142" s="8">
        <v>3.18</v>
      </c>
      <c r="E142" s="4">
        <v>120</v>
      </c>
      <c r="F142" s="8">
        <v>4.87</v>
      </c>
      <c r="G142" s="4">
        <v>122</v>
      </c>
      <c r="H142" s="8">
        <v>2.38</v>
      </c>
      <c r="I142" s="4">
        <v>0</v>
      </c>
    </row>
    <row r="143" spans="1:9" x14ac:dyDescent="0.2">
      <c r="A143" s="2">
        <v>9</v>
      </c>
      <c r="B143" s="1" t="s">
        <v>105</v>
      </c>
      <c r="C143" s="4">
        <v>229</v>
      </c>
      <c r="D143" s="8">
        <v>3.01</v>
      </c>
      <c r="E143" s="4">
        <v>121</v>
      </c>
      <c r="F143" s="8">
        <v>4.91</v>
      </c>
      <c r="G143" s="4">
        <v>105</v>
      </c>
      <c r="H143" s="8">
        <v>2.0499999999999998</v>
      </c>
      <c r="I143" s="4">
        <v>3</v>
      </c>
    </row>
    <row r="144" spans="1:9" x14ac:dyDescent="0.2">
      <c r="A144" s="2">
        <v>10</v>
      </c>
      <c r="B144" s="1" t="s">
        <v>102</v>
      </c>
      <c r="C144" s="4">
        <v>223</v>
      </c>
      <c r="D144" s="8">
        <v>2.93</v>
      </c>
      <c r="E144" s="4">
        <v>44</v>
      </c>
      <c r="F144" s="8">
        <v>1.78</v>
      </c>
      <c r="G144" s="4">
        <v>178</v>
      </c>
      <c r="H144" s="8">
        <v>3.47</v>
      </c>
      <c r="I144" s="4">
        <v>0</v>
      </c>
    </row>
    <row r="145" spans="1:9" x14ac:dyDescent="0.2">
      <c r="A145" s="2">
        <v>11</v>
      </c>
      <c r="B145" s="1" t="s">
        <v>94</v>
      </c>
      <c r="C145" s="4">
        <v>208</v>
      </c>
      <c r="D145" s="8">
        <v>2.73</v>
      </c>
      <c r="E145" s="4">
        <v>16</v>
      </c>
      <c r="F145" s="8">
        <v>0.65</v>
      </c>
      <c r="G145" s="4">
        <v>192</v>
      </c>
      <c r="H145" s="8">
        <v>3.74</v>
      </c>
      <c r="I145" s="4">
        <v>0</v>
      </c>
    </row>
    <row r="146" spans="1:9" x14ac:dyDescent="0.2">
      <c r="A146" s="2">
        <v>12</v>
      </c>
      <c r="B146" s="1" t="s">
        <v>93</v>
      </c>
      <c r="C146" s="4">
        <v>207</v>
      </c>
      <c r="D146" s="8">
        <v>2.72</v>
      </c>
      <c r="E146" s="4">
        <v>7</v>
      </c>
      <c r="F146" s="8">
        <v>0.28000000000000003</v>
      </c>
      <c r="G146" s="4">
        <v>200</v>
      </c>
      <c r="H146" s="8">
        <v>3.9</v>
      </c>
      <c r="I146" s="4">
        <v>0</v>
      </c>
    </row>
    <row r="147" spans="1:9" x14ac:dyDescent="0.2">
      <c r="A147" s="2">
        <v>13</v>
      </c>
      <c r="B147" s="1" t="s">
        <v>92</v>
      </c>
      <c r="C147" s="4">
        <v>203</v>
      </c>
      <c r="D147" s="8">
        <v>2.67</v>
      </c>
      <c r="E147" s="4">
        <v>11</v>
      </c>
      <c r="F147" s="8">
        <v>0.45</v>
      </c>
      <c r="G147" s="4">
        <v>192</v>
      </c>
      <c r="H147" s="8">
        <v>3.74</v>
      </c>
      <c r="I147" s="4">
        <v>0</v>
      </c>
    </row>
    <row r="148" spans="1:9" x14ac:dyDescent="0.2">
      <c r="A148" s="2">
        <v>14</v>
      </c>
      <c r="B148" s="1" t="s">
        <v>107</v>
      </c>
      <c r="C148" s="4">
        <v>174</v>
      </c>
      <c r="D148" s="8">
        <v>2.29</v>
      </c>
      <c r="E148" s="4">
        <v>7</v>
      </c>
      <c r="F148" s="8">
        <v>0.28000000000000003</v>
      </c>
      <c r="G148" s="4">
        <v>160</v>
      </c>
      <c r="H148" s="8">
        <v>3.12</v>
      </c>
      <c r="I148" s="4">
        <v>7</v>
      </c>
    </row>
    <row r="149" spans="1:9" x14ac:dyDescent="0.2">
      <c r="A149" s="2">
        <v>15</v>
      </c>
      <c r="B149" s="1" t="s">
        <v>89</v>
      </c>
      <c r="C149" s="4">
        <v>157</v>
      </c>
      <c r="D149" s="8">
        <v>2.06</v>
      </c>
      <c r="E149" s="4">
        <v>21</v>
      </c>
      <c r="F149" s="8">
        <v>0.85</v>
      </c>
      <c r="G149" s="4">
        <v>136</v>
      </c>
      <c r="H149" s="8">
        <v>2.65</v>
      </c>
      <c r="I149" s="4">
        <v>0</v>
      </c>
    </row>
    <row r="150" spans="1:9" x14ac:dyDescent="0.2">
      <c r="A150" s="2">
        <v>16</v>
      </c>
      <c r="B150" s="1" t="s">
        <v>99</v>
      </c>
      <c r="C150" s="4">
        <v>156</v>
      </c>
      <c r="D150" s="8">
        <v>2.0499999999999998</v>
      </c>
      <c r="E150" s="4">
        <v>15</v>
      </c>
      <c r="F150" s="8">
        <v>0.61</v>
      </c>
      <c r="G150" s="4">
        <v>141</v>
      </c>
      <c r="H150" s="8">
        <v>2.75</v>
      </c>
      <c r="I150" s="4">
        <v>0</v>
      </c>
    </row>
    <row r="151" spans="1:9" x14ac:dyDescent="0.2">
      <c r="A151" s="2">
        <v>17</v>
      </c>
      <c r="B151" s="1" t="s">
        <v>91</v>
      </c>
      <c r="C151" s="4">
        <v>148</v>
      </c>
      <c r="D151" s="8">
        <v>1.95</v>
      </c>
      <c r="E151" s="4">
        <v>1</v>
      </c>
      <c r="F151" s="8">
        <v>0.04</v>
      </c>
      <c r="G151" s="4">
        <v>147</v>
      </c>
      <c r="H151" s="8">
        <v>2.87</v>
      </c>
      <c r="I151" s="4">
        <v>0</v>
      </c>
    </row>
    <row r="152" spans="1:9" x14ac:dyDescent="0.2">
      <c r="A152" s="2">
        <v>18</v>
      </c>
      <c r="B152" s="1" t="s">
        <v>95</v>
      </c>
      <c r="C152" s="4">
        <v>128</v>
      </c>
      <c r="D152" s="8">
        <v>1.68</v>
      </c>
      <c r="E152" s="4">
        <v>58</v>
      </c>
      <c r="F152" s="8">
        <v>2.35</v>
      </c>
      <c r="G152" s="4">
        <v>70</v>
      </c>
      <c r="H152" s="8">
        <v>1.37</v>
      </c>
      <c r="I152" s="4">
        <v>0</v>
      </c>
    </row>
    <row r="153" spans="1:9" x14ac:dyDescent="0.2">
      <c r="A153" s="2">
        <v>19</v>
      </c>
      <c r="B153" s="1" t="s">
        <v>90</v>
      </c>
      <c r="C153" s="4">
        <v>112</v>
      </c>
      <c r="D153" s="8">
        <v>1.47</v>
      </c>
      <c r="E153" s="4">
        <v>16</v>
      </c>
      <c r="F153" s="8">
        <v>0.65</v>
      </c>
      <c r="G153" s="4">
        <v>95</v>
      </c>
      <c r="H153" s="8">
        <v>1.85</v>
      </c>
      <c r="I153" s="4">
        <v>1</v>
      </c>
    </row>
    <row r="154" spans="1:9" x14ac:dyDescent="0.2">
      <c r="A154" s="2">
        <v>20</v>
      </c>
      <c r="B154" s="1" t="s">
        <v>88</v>
      </c>
      <c r="C154" s="4">
        <v>109</v>
      </c>
      <c r="D154" s="8">
        <v>1.43</v>
      </c>
      <c r="E154" s="4">
        <v>6</v>
      </c>
      <c r="F154" s="8">
        <v>0.24</v>
      </c>
      <c r="G154" s="4">
        <v>103</v>
      </c>
      <c r="H154" s="8">
        <v>2.0099999999999998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103</v>
      </c>
      <c r="C157" s="4">
        <v>1570</v>
      </c>
      <c r="D157" s="8">
        <v>11.93</v>
      </c>
      <c r="E157" s="4">
        <v>1095</v>
      </c>
      <c r="F157" s="8">
        <v>26.16</v>
      </c>
      <c r="G157" s="4">
        <v>474</v>
      </c>
      <c r="H157" s="8">
        <v>5.29</v>
      </c>
      <c r="I157" s="4">
        <v>1</v>
      </c>
    </row>
    <row r="158" spans="1:9" x14ac:dyDescent="0.2">
      <c r="A158" s="2">
        <v>2</v>
      </c>
      <c r="B158" s="1" t="s">
        <v>100</v>
      </c>
      <c r="C158" s="4">
        <v>1414</v>
      </c>
      <c r="D158" s="8">
        <v>10.75</v>
      </c>
      <c r="E158" s="4">
        <v>429</v>
      </c>
      <c r="F158" s="8">
        <v>10.25</v>
      </c>
      <c r="G158" s="4">
        <v>984</v>
      </c>
      <c r="H158" s="8">
        <v>10.99</v>
      </c>
      <c r="I158" s="4">
        <v>1</v>
      </c>
    </row>
    <row r="159" spans="1:9" x14ac:dyDescent="0.2">
      <c r="A159" s="2">
        <v>3</v>
      </c>
      <c r="B159" s="1" t="s">
        <v>94</v>
      </c>
      <c r="C159" s="4">
        <v>890</v>
      </c>
      <c r="D159" s="8">
        <v>6.76</v>
      </c>
      <c r="E159" s="4">
        <v>61</v>
      </c>
      <c r="F159" s="8">
        <v>1.46</v>
      </c>
      <c r="G159" s="4">
        <v>828</v>
      </c>
      <c r="H159" s="8">
        <v>9.25</v>
      </c>
      <c r="I159" s="4">
        <v>1</v>
      </c>
    </row>
    <row r="160" spans="1:9" x14ac:dyDescent="0.2">
      <c r="A160" s="2">
        <v>4</v>
      </c>
      <c r="B160" s="1" t="s">
        <v>98</v>
      </c>
      <c r="C160" s="4">
        <v>813</v>
      </c>
      <c r="D160" s="8">
        <v>6.18</v>
      </c>
      <c r="E160" s="4">
        <v>310</v>
      </c>
      <c r="F160" s="8">
        <v>7.41</v>
      </c>
      <c r="G160" s="4">
        <v>503</v>
      </c>
      <c r="H160" s="8">
        <v>5.62</v>
      </c>
      <c r="I160" s="4">
        <v>0</v>
      </c>
    </row>
    <row r="161" spans="1:9" x14ac:dyDescent="0.2">
      <c r="A161" s="2">
        <v>5</v>
      </c>
      <c r="B161" s="1" t="s">
        <v>101</v>
      </c>
      <c r="C161" s="4">
        <v>674</v>
      </c>
      <c r="D161" s="8">
        <v>5.12</v>
      </c>
      <c r="E161" s="4">
        <v>358</v>
      </c>
      <c r="F161" s="8">
        <v>8.5500000000000007</v>
      </c>
      <c r="G161" s="4">
        <v>314</v>
      </c>
      <c r="H161" s="8">
        <v>3.51</v>
      </c>
      <c r="I161" s="4">
        <v>2</v>
      </c>
    </row>
    <row r="162" spans="1:9" x14ac:dyDescent="0.2">
      <c r="A162" s="2">
        <v>6</v>
      </c>
      <c r="B162" s="1" t="s">
        <v>95</v>
      </c>
      <c r="C162" s="4">
        <v>483</v>
      </c>
      <c r="D162" s="8">
        <v>3.67</v>
      </c>
      <c r="E162" s="4">
        <v>179</v>
      </c>
      <c r="F162" s="8">
        <v>4.28</v>
      </c>
      <c r="G162" s="4">
        <v>303</v>
      </c>
      <c r="H162" s="8">
        <v>3.38</v>
      </c>
      <c r="I162" s="4">
        <v>1</v>
      </c>
    </row>
    <row r="163" spans="1:9" x14ac:dyDescent="0.2">
      <c r="A163" s="2">
        <v>7</v>
      </c>
      <c r="B163" s="1" t="s">
        <v>104</v>
      </c>
      <c r="C163" s="4">
        <v>473</v>
      </c>
      <c r="D163" s="8">
        <v>3.6</v>
      </c>
      <c r="E163" s="4">
        <v>318</v>
      </c>
      <c r="F163" s="8">
        <v>7.6</v>
      </c>
      <c r="G163" s="4">
        <v>154</v>
      </c>
      <c r="H163" s="8">
        <v>1.72</v>
      </c>
      <c r="I163" s="4">
        <v>1</v>
      </c>
    </row>
    <row r="164" spans="1:9" x14ac:dyDescent="0.2">
      <c r="A164" s="2">
        <v>8</v>
      </c>
      <c r="B164" s="1" t="s">
        <v>112</v>
      </c>
      <c r="C164" s="4">
        <v>434</v>
      </c>
      <c r="D164" s="8">
        <v>3.3</v>
      </c>
      <c r="E164" s="4">
        <v>32</v>
      </c>
      <c r="F164" s="8">
        <v>0.76</v>
      </c>
      <c r="G164" s="4">
        <v>401</v>
      </c>
      <c r="H164" s="8">
        <v>4.4800000000000004</v>
      </c>
      <c r="I164" s="4">
        <v>1</v>
      </c>
    </row>
    <row r="165" spans="1:9" x14ac:dyDescent="0.2">
      <c r="A165" s="2">
        <v>9</v>
      </c>
      <c r="B165" s="1" t="s">
        <v>96</v>
      </c>
      <c r="C165" s="4">
        <v>421</v>
      </c>
      <c r="D165" s="8">
        <v>3.2</v>
      </c>
      <c r="E165" s="4">
        <v>189</v>
      </c>
      <c r="F165" s="8">
        <v>4.5199999999999996</v>
      </c>
      <c r="G165" s="4">
        <v>232</v>
      </c>
      <c r="H165" s="8">
        <v>2.59</v>
      </c>
      <c r="I165" s="4">
        <v>0</v>
      </c>
    </row>
    <row r="166" spans="1:9" x14ac:dyDescent="0.2">
      <c r="A166" s="2">
        <v>10</v>
      </c>
      <c r="B166" s="1" t="s">
        <v>117</v>
      </c>
      <c r="C166" s="4">
        <v>402</v>
      </c>
      <c r="D166" s="8">
        <v>3.06</v>
      </c>
      <c r="E166" s="4">
        <v>109</v>
      </c>
      <c r="F166" s="8">
        <v>2.6</v>
      </c>
      <c r="G166" s="4">
        <v>293</v>
      </c>
      <c r="H166" s="8">
        <v>3.27</v>
      </c>
      <c r="I166" s="4">
        <v>0</v>
      </c>
    </row>
    <row r="167" spans="1:9" x14ac:dyDescent="0.2">
      <c r="A167" s="2">
        <v>11</v>
      </c>
      <c r="B167" s="1" t="s">
        <v>93</v>
      </c>
      <c r="C167" s="4">
        <v>384</v>
      </c>
      <c r="D167" s="8">
        <v>2.92</v>
      </c>
      <c r="E167" s="4">
        <v>20</v>
      </c>
      <c r="F167" s="8">
        <v>0.48</v>
      </c>
      <c r="G167" s="4">
        <v>364</v>
      </c>
      <c r="H167" s="8">
        <v>4.07</v>
      </c>
      <c r="I167" s="4">
        <v>0</v>
      </c>
    </row>
    <row r="168" spans="1:9" x14ac:dyDescent="0.2">
      <c r="A168" s="2">
        <v>12</v>
      </c>
      <c r="B168" s="1" t="s">
        <v>108</v>
      </c>
      <c r="C168" s="4">
        <v>319</v>
      </c>
      <c r="D168" s="8">
        <v>2.42</v>
      </c>
      <c r="E168" s="4">
        <v>55</v>
      </c>
      <c r="F168" s="8">
        <v>1.31</v>
      </c>
      <c r="G168" s="4">
        <v>264</v>
      </c>
      <c r="H168" s="8">
        <v>2.95</v>
      </c>
      <c r="I168" s="4">
        <v>0</v>
      </c>
    </row>
    <row r="169" spans="1:9" x14ac:dyDescent="0.2">
      <c r="A169" s="2">
        <v>13</v>
      </c>
      <c r="B169" s="1" t="s">
        <v>116</v>
      </c>
      <c r="C169" s="4">
        <v>313</v>
      </c>
      <c r="D169" s="8">
        <v>2.38</v>
      </c>
      <c r="E169" s="4">
        <v>131</v>
      </c>
      <c r="F169" s="8">
        <v>3.13</v>
      </c>
      <c r="G169" s="4">
        <v>182</v>
      </c>
      <c r="H169" s="8">
        <v>2.0299999999999998</v>
      </c>
      <c r="I169" s="4">
        <v>0</v>
      </c>
    </row>
    <row r="170" spans="1:9" x14ac:dyDescent="0.2">
      <c r="A170" s="2">
        <v>13</v>
      </c>
      <c r="B170" s="1" t="s">
        <v>106</v>
      </c>
      <c r="C170" s="4">
        <v>313</v>
      </c>
      <c r="D170" s="8">
        <v>2.38</v>
      </c>
      <c r="E170" s="4">
        <v>252</v>
      </c>
      <c r="F170" s="8">
        <v>6.02</v>
      </c>
      <c r="G170" s="4">
        <v>61</v>
      </c>
      <c r="H170" s="8">
        <v>0.68</v>
      </c>
      <c r="I170" s="4">
        <v>0</v>
      </c>
    </row>
    <row r="171" spans="1:9" x14ac:dyDescent="0.2">
      <c r="A171" s="2">
        <v>15</v>
      </c>
      <c r="B171" s="1" t="s">
        <v>89</v>
      </c>
      <c r="C171" s="4">
        <v>267</v>
      </c>
      <c r="D171" s="8">
        <v>2.0299999999999998</v>
      </c>
      <c r="E171" s="4">
        <v>41</v>
      </c>
      <c r="F171" s="8">
        <v>0.98</v>
      </c>
      <c r="G171" s="4">
        <v>226</v>
      </c>
      <c r="H171" s="8">
        <v>2.52</v>
      </c>
      <c r="I171" s="4">
        <v>0</v>
      </c>
    </row>
    <row r="172" spans="1:9" x14ac:dyDescent="0.2">
      <c r="A172" s="2">
        <v>16</v>
      </c>
      <c r="B172" s="1" t="s">
        <v>90</v>
      </c>
      <c r="C172" s="4">
        <v>245</v>
      </c>
      <c r="D172" s="8">
        <v>1.86</v>
      </c>
      <c r="E172" s="4">
        <v>12</v>
      </c>
      <c r="F172" s="8">
        <v>0.28999999999999998</v>
      </c>
      <c r="G172" s="4">
        <v>233</v>
      </c>
      <c r="H172" s="8">
        <v>2.6</v>
      </c>
      <c r="I172" s="4">
        <v>0</v>
      </c>
    </row>
    <row r="173" spans="1:9" x14ac:dyDescent="0.2">
      <c r="A173" s="2">
        <v>17</v>
      </c>
      <c r="B173" s="1" t="s">
        <v>110</v>
      </c>
      <c r="C173" s="4">
        <v>244</v>
      </c>
      <c r="D173" s="8">
        <v>1.85</v>
      </c>
      <c r="E173" s="4">
        <v>17</v>
      </c>
      <c r="F173" s="8">
        <v>0.41</v>
      </c>
      <c r="G173" s="4">
        <v>227</v>
      </c>
      <c r="H173" s="8">
        <v>2.54</v>
      </c>
      <c r="I173" s="4">
        <v>0</v>
      </c>
    </row>
    <row r="174" spans="1:9" x14ac:dyDescent="0.2">
      <c r="A174" s="2">
        <v>18</v>
      </c>
      <c r="B174" s="1" t="s">
        <v>107</v>
      </c>
      <c r="C174" s="4">
        <v>230</v>
      </c>
      <c r="D174" s="8">
        <v>1.75</v>
      </c>
      <c r="E174" s="4">
        <v>19</v>
      </c>
      <c r="F174" s="8">
        <v>0.45</v>
      </c>
      <c r="G174" s="4">
        <v>210</v>
      </c>
      <c r="H174" s="8">
        <v>2.35</v>
      </c>
      <c r="I174" s="4">
        <v>1</v>
      </c>
    </row>
    <row r="175" spans="1:9" x14ac:dyDescent="0.2">
      <c r="A175" s="2">
        <v>19</v>
      </c>
      <c r="B175" s="1" t="s">
        <v>99</v>
      </c>
      <c r="C175" s="4">
        <v>223</v>
      </c>
      <c r="D175" s="8">
        <v>1.69</v>
      </c>
      <c r="E175" s="4">
        <v>20</v>
      </c>
      <c r="F175" s="8">
        <v>0.48</v>
      </c>
      <c r="G175" s="4">
        <v>203</v>
      </c>
      <c r="H175" s="8">
        <v>2.27</v>
      </c>
      <c r="I175" s="4">
        <v>0</v>
      </c>
    </row>
    <row r="176" spans="1:9" x14ac:dyDescent="0.2">
      <c r="A176" s="2">
        <v>20</v>
      </c>
      <c r="B176" s="1" t="s">
        <v>102</v>
      </c>
      <c r="C176" s="4">
        <v>218</v>
      </c>
      <c r="D176" s="8">
        <v>1.66</v>
      </c>
      <c r="E176" s="4">
        <v>39</v>
      </c>
      <c r="F176" s="8">
        <v>0.93</v>
      </c>
      <c r="G176" s="4">
        <v>178</v>
      </c>
      <c r="H176" s="8">
        <v>1.99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103</v>
      </c>
      <c r="C179" s="4">
        <v>975</v>
      </c>
      <c r="D179" s="8">
        <v>10.71</v>
      </c>
      <c r="E179" s="4">
        <v>731</v>
      </c>
      <c r="F179" s="8">
        <v>22.33</v>
      </c>
      <c r="G179" s="4">
        <v>244</v>
      </c>
      <c r="H179" s="8">
        <v>4.2</v>
      </c>
      <c r="I179" s="4">
        <v>0</v>
      </c>
    </row>
    <row r="180" spans="1:9" x14ac:dyDescent="0.2">
      <c r="A180" s="2">
        <v>2</v>
      </c>
      <c r="B180" s="1" t="s">
        <v>100</v>
      </c>
      <c r="C180" s="4">
        <v>859</v>
      </c>
      <c r="D180" s="8">
        <v>9.44</v>
      </c>
      <c r="E180" s="4">
        <v>260</v>
      </c>
      <c r="F180" s="8">
        <v>7.94</v>
      </c>
      <c r="G180" s="4">
        <v>596</v>
      </c>
      <c r="H180" s="8">
        <v>10.25</v>
      </c>
      <c r="I180" s="4">
        <v>3</v>
      </c>
    </row>
    <row r="181" spans="1:9" x14ac:dyDescent="0.2">
      <c r="A181" s="2">
        <v>3</v>
      </c>
      <c r="B181" s="1" t="s">
        <v>104</v>
      </c>
      <c r="C181" s="4">
        <v>488</v>
      </c>
      <c r="D181" s="8">
        <v>5.36</v>
      </c>
      <c r="E181" s="4">
        <v>365</v>
      </c>
      <c r="F181" s="8">
        <v>11.15</v>
      </c>
      <c r="G181" s="4">
        <v>123</v>
      </c>
      <c r="H181" s="8">
        <v>2.12</v>
      </c>
      <c r="I181" s="4">
        <v>0</v>
      </c>
    </row>
    <row r="182" spans="1:9" x14ac:dyDescent="0.2">
      <c r="A182" s="2">
        <v>4</v>
      </c>
      <c r="B182" s="1" t="s">
        <v>98</v>
      </c>
      <c r="C182" s="4">
        <v>395</v>
      </c>
      <c r="D182" s="8">
        <v>4.34</v>
      </c>
      <c r="E182" s="4">
        <v>158</v>
      </c>
      <c r="F182" s="8">
        <v>4.83</v>
      </c>
      <c r="G182" s="4">
        <v>237</v>
      </c>
      <c r="H182" s="8">
        <v>4.08</v>
      </c>
      <c r="I182" s="4">
        <v>0</v>
      </c>
    </row>
    <row r="183" spans="1:9" x14ac:dyDescent="0.2">
      <c r="A183" s="2">
        <v>5</v>
      </c>
      <c r="B183" s="1" t="s">
        <v>119</v>
      </c>
      <c r="C183" s="4">
        <v>393</v>
      </c>
      <c r="D183" s="8">
        <v>4.32</v>
      </c>
      <c r="E183" s="4">
        <v>131</v>
      </c>
      <c r="F183" s="8">
        <v>4</v>
      </c>
      <c r="G183" s="4">
        <v>262</v>
      </c>
      <c r="H183" s="8">
        <v>4.51</v>
      </c>
      <c r="I183" s="4">
        <v>0</v>
      </c>
    </row>
    <row r="184" spans="1:9" x14ac:dyDescent="0.2">
      <c r="A184" s="2">
        <v>6</v>
      </c>
      <c r="B184" s="1" t="s">
        <v>101</v>
      </c>
      <c r="C184" s="4">
        <v>318</v>
      </c>
      <c r="D184" s="8">
        <v>3.49</v>
      </c>
      <c r="E184" s="4">
        <v>182</v>
      </c>
      <c r="F184" s="8">
        <v>5.56</v>
      </c>
      <c r="G184" s="4">
        <v>136</v>
      </c>
      <c r="H184" s="8">
        <v>2.34</v>
      </c>
      <c r="I184" s="4">
        <v>0</v>
      </c>
    </row>
    <row r="185" spans="1:9" x14ac:dyDescent="0.2">
      <c r="A185" s="2">
        <v>7</v>
      </c>
      <c r="B185" s="1" t="s">
        <v>89</v>
      </c>
      <c r="C185" s="4">
        <v>299</v>
      </c>
      <c r="D185" s="8">
        <v>3.29</v>
      </c>
      <c r="E185" s="4">
        <v>56</v>
      </c>
      <c r="F185" s="8">
        <v>1.71</v>
      </c>
      <c r="G185" s="4">
        <v>243</v>
      </c>
      <c r="H185" s="8">
        <v>4.18</v>
      </c>
      <c r="I185" s="4">
        <v>0</v>
      </c>
    </row>
    <row r="186" spans="1:9" x14ac:dyDescent="0.2">
      <c r="A186" s="2">
        <v>8</v>
      </c>
      <c r="B186" s="1" t="s">
        <v>96</v>
      </c>
      <c r="C186" s="4">
        <v>298</v>
      </c>
      <c r="D186" s="8">
        <v>3.27</v>
      </c>
      <c r="E186" s="4">
        <v>165</v>
      </c>
      <c r="F186" s="8">
        <v>5.04</v>
      </c>
      <c r="G186" s="4">
        <v>133</v>
      </c>
      <c r="H186" s="8">
        <v>2.29</v>
      </c>
      <c r="I186" s="4">
        <v>0</v>
      </c>
    </row>
    <row r="187" spans="1:9" x14ac:dyDescent="0.2">
      <c r="A187" s="2">
        <v>9</v>
      </c>
      <c r="B187" s="1" t="s">
        <v>94</v>
      </c>
      <c r="C187" s="4">
        <v>284</v>
      </c>
      <c r="D187" s="8">
        <v>3.12</v>
      </c>
      <c r="E187" s="4">
        <v>20</v>
      </c>
      <c r="F187" s="8">
        <v>0.61</v>
      </c>
      <c r="G187" s="4">
        <v>264</v>
      </c>
      <c r="H187" s="8">
        <v>4.54</v>
      </c>
      <c r="I187" s="4">
        <v>0</v>
      </c>
    </row>
    <row r="188" spans="1:9" x14ac:dyDescent="0.2">
      <c r="A188" s="2">
        <v>9</v>
      </c>
      <c r="B188" s="1" t="s">
        <v>106</v>
      </c>
      <c r="C188" s="4">
        <v>284</v>
      </c>
      <c r="D188" s="8">
        <v>3.12</v>
      </c>
      <c r="E188" s="4">
        <v>232</v>
      </c>
      <c r="F188" s="8">
        <v>7.09</v>
      </c>
      <c r="G188" s="4">
        <v>51</v>
      </c>
      <c r="H188" s="8">
        <v>0.88</v>
      </c>
      <c r="I188" s="4">
        <v>1</v>
      </c>
    </row>
    <row r="189" spans="1:9" x14ac:dyDescent="0.2">
      <c r="A189" s="2">
        <v>11</v>
      </c>
      <c r="B189" s="1" t="s">
        <v>108</v>
      </c>
      <c r="C189" s="4">
        <v>277</v>
      </c>
      <c r="D189" s="8">
        <v>3.04</v>
      </c>
      <c r="E189" s="4">
        <v>48</v>
      </c>
      <c r="F189" s="8">
        <v>1.47</v>
      </c>
      <c r="G189" s="4">
        <v>229</v>
      </c>
      <c r="H189" s="8">
        <v>3.94</v>
      </c>
      <c r="I189" s="4">
        <v>0</v>
      </c>
    </row>
    <row r="190" spans="1:9" x14ac:dyDescent="0.2">
      <c r="A190" s="2">
        <v>12</v>
      </c>
      <c r="B190" s="1" t="s">
        <v>118</v>
      </c>
      <c r="C190" s="4">
        <v>250</v>
      </c>
      <c r="D190" s="8">
        <v>2.75</v>
      </c>
      <c r="E190" s="4">
        <v>84</v>
      </c>
      <c r="F190" s="8">
        <v>2.57</v>
      </c>
      <c r="G190" s="4">
        <v>166</v>
      </c>
      <c r="H190" s="8">
        <v>2.86</v>
      </c>
      <c r="I190" s="4">
        <v>0</v>
      </c>
    </row>
    <row r="191" spans="1:9" x14ac:dyDescent="0.2">
      <c r="A191" s="2">
        <v>13</v>
      </c>
      <c r="B191" s="1" t="s">
        <v>110</v>
      </c>
      <c r="C191" s="4">
        <v>238</v>
      </c>
      <c r="D191" s="8">
        <v>2.62</v>
      </c>
      <c r="E191" s="4">
        <v>19</v>
      </c>
      <c r="F191" s="8">
        <v>0.57999999999999996</v>
      </c>
      <c r="G191" s="4">
        <v>219</v>
      </c>
      <c r="H191" s="8">
        <v>3.77</v>
      </c>
      <c r="I191" s="4">
        <v>0</v>
      </c>
    </row>
    <row r="192" spans="1:9" x14ac:dyDescent="0.2">
      <c r="A192" s="2">
        <v>14</v>
      </c>
      <c r="B192" s="1" t="s">
        <v>90</v>
      </c>
      <c r="C192" s="4">
        <v>233</v>
      </c>
      <c r="D192" s="8">
        <v>2.56</v>
      </c>
      <c r="E192" s="4">
        <v>25</v>
      </c>
      <c r="F192" s="8">
        <v>0.76</v>
      </c>
      <c r="G192" s="4">
        <v>208</v>
      </c>
      <c r="H192" s="8">
        <v>3.58</v>
      </c>
      <c r="I192" s="4">
        <v>0</v>
      </c>
    </row>
    <row r="193" spans="1:9" x14ac:dyDescent="0.2">
      <c r="A193" s="2">
        <v>15</v>
      </c>
      <c r="B193" s="1" t="s">
        <v>88</v>
      </c>
      <c r="C193" s="4">
        <v>207</v>
      </c>
      <c r="D193" s="8">
        <v>2.27</v>
      </c>
      <c r="E193" s="4">
        <v>26</v>
      </c>
      <c r="F193" s="8">
        <v>0.79</v>
      </c>
      <c r="G193" s="4">
        <v>181</v>
      </c>
      <c r="H193" s="8">
        <v>3.11</v>
      </c>
      <c r="I193" s="4">
        <v>0</v>
      </c>
    </row>
    <row r="194" spans="1:9" x14ac:dyDescent="0.2">
      <c r="A194" s="2">
        <v>16</v>
      </c>
      <c r="B194" s="1" t="s">
        <v>95</v>
      </c>
      <c r="C194" s="4">
        <v>202</v>
      </c>
      <c r="D194" s="8">
        <v>2.2200000000000002</v>
      </c>
      <c r="E194" s="4">
        <v>60</v>
      </c>
      <c r="F194" s="8">
        <v>1.83</v>
      </c>
      <c r="G194" s="4">
        <v>142</v>
      </c>
      <c r="H194" s="8">
        <v>2.44</v>
      </c>
      <c r="I194" s="4">
        <v>0</v>
      </c>
    </row>
    <row r="195" spans="1:9" x14ac:dyDescent="0.2">
      <c r="A195" s="2">
        <v>17</v>
      </c>
      <c r="B195" s="1" t="s">
        <v>105</v>
      </c>
      <c r="C195" s="4">
        <v>199</v>
      </c>
      <c r="D195" s="8">
        <v>2.19</v>
      </c>
      <c r="E195" s="4">
        <v>104</v>
      </c>
      <c r="F195" s="8">
        <v>3.18</v>
      </c>
      <c r="G195" s="4">
        <v>91</v>
      </c>
      <c r="H195" s="8">
        <v>1.57</v>
      </c>
      <c r="I195" s="4">
        <v>1</v>
      </c>
    </row>
    <row r="196" spans="1:9" x14ac:dyDescent="0.2">
      <c r="A196" s="2">
        <v>18</v>
      </c>
      <c r="B196" s="1" t="s">
        <v>93</v>
      </c>
      <c r="C196" s="4">
        <v>186</v>
      </c>
      <c r="D196" s="8">
        <v>2.04</v>
      </c>
      <c r="E196" s="4">
        <v>15</v>
      </c>
      <c r="F196" s="8">
        <v>0.46</v>
      </c>
      <c r="G196" s="4">
        <v>171</v>
      </c>
      <c r="H196" s="8">
        <v>2.94</v>
      </c>
      <c r="I196" s="4">
        <v>0</v>
      </c>
    </row>
    <row r="197" spans="1:9" x14ac:dyDescent="0.2">
      <c r="A197" s="2">
        <v>19</v>
      </c>
      <c r="B197" s="1" t="s">
        <v>117</v>
      </c>
      <c r="C197" s="4">
        <v>168</v>
      </c>
      <c r="D197" s="8">
        <v>1.85</v>
      </c>
      <c r="E197" s="4">
        <v>48</v>
      </c>
      <c r="F197" s="8">
        <v>1.47</v>
      </c>
      <c r="G197" s="4">
        <v>120</v>
      </c>
      <c r="H197" s="8">
        <v>2.06</v>
      </c>
      <c r="I197" s="4">
        <v>0</v>
      </c>
    </row>
    <row r="198" spans="1:9" x14ac:dyDescent="0.2">
      <c r="A198" s="2">
        <v>20</v>
      </c>
      <c r="B198" s="1" t="s">
        <v>116</v>
      </c>
      <c r="C198" s="4">
        <v>163</v>
      </c>
      <c r="D198" s="8">
        <v>1.79</v>
      </c>
      <c r="E198" s="4">
        <v>61</v>
      </c>
      <c r="F198" s="8">
        <v>1.86</v>
      </c>
      <c r="G198" s="4">
        <v>102</v>
      </c>
      <c r="H198" s="8">
        <v>1.75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103</v>
      </c>
      <c r="C201" s="4">
        <v>985</v>
      </c>
      <c r="D201" s="8">
        <v>10.15</v>
      </c>
      <c r="E201" s="4">
        <v>682</v>
      </c>
      <c r="F201" s="8">
        <v>23.86</v>
      </c>
      <c r="G201" s="4">
        <v>303</v>
      </c>
      <c r="H201" s="8">
        <v>4.4400000000000004</v>
      </c>
      <c r="I201" s="4">
        <v>0</v>
      </c>
    </row>
    <row r="202" spans="1:9" x14ac:dyDescent="0.2">
      <c r="A202" s="2">
        <v>2</v>
      </c>
      <c r="B202" s="1" t="s">
        <v>100</v>
      </c>
      <c r="C202" s="4">
        <v>821</v>
      </c>
      <c r="D202" s="8">
        <v>8.4600000000000009</v>
      </c>
      <c r="E202" s="4">
        <v>131</v>
      </c>
      <c r="F202" s="8">
        <v>4.58</v>
      </c>
      <c r="G202" s="4">
        <v>690</v>
      </c>
      <c r="H202" s="8">
        <v>10.1</v>
      </c>
      <c r="I202" s="4">
        <v>0</v>
      </c>
    </row>
    <row r="203" spans="1:9" x14ac:dyDescent="0.2">
      <c r="A203" s="2">
        <v>3</v>
      </c>
      <c r="B203" s="1" t="s">
        <v>104</v>
      </c>
      <c r="C203" s="4">
        <v>634</v>
      </c>
      <c r="D203" s="8">
        <v>6.53</v>
      </c>
      <c r="E203" s="4">
        <v>443</v>
      </c>
      <c r="F203" s="8">
        <v>15.5</v>
      </c>
      <c r="G203" s="4">
        <v>191</v>
      </c>
      <c r="H203" s="8">
        <v>2.8</v>
      </c>
      <c r="I203" s="4">
        <v>0</v>
      </c>
    </row>
    <row r="204" spans="1:9" x14ac:dyDescent="0.2">
      <c r="A204" s="2">
        <v>4</v>
      </c>
      <c r="B204" s="1" t="s">
        <v>98</v>
      </c>
      <c r="C204" s="4">
        <v>466</v>
      </c>
      <c r="D204" s="8">
        <v>4.8</v>
      </c>
      <c r="E204" s="4">
        <v>163</v>
      </c>
      <c r="F204" s="8">
        <v>5.7</v>
      </c>
      <c r="G204" s="4">
        <v>303</v>
      </c>
      <c r="H204" s="8">
        <v>4.4400000000000004</v>
      </c>
      <c r="I204" s="4">
        <v>0</v>
      </c>
    </row>
    <row r="205" spans="1:9" x14ac:dyDescent="0.2">
      <c r="A205" s="2">
        <v>5</v>
      </c>
      <c r="B205" s="1" t="s">
        <v>108</v>
      </c>
      <c r="C205" s="4">
        <v>395</v>
      </c>
      <c r="D205" s="8">
        <v>4.07</v>
      </c>
      <c r="E205" s="4">
        <v>72</v>
      </c>
      <c r="F205" s="8">
        <v>2.52</v>
      </c>
      <c r="G205" s="4">
        <v>323</v>
      </c>
      <c r="H205" s="8">
        <v>4.7300000000000004</v>
      </c>
      <c r="I205" s="4">
        <v>0</v>
      </c>
    </row>
    <row r="206" spans="1:9" x14ac:dyDescent="0.2">
      <c r="A206" s="2">
        <v>6</v>
      </c>
      <c r="B206" s="1" t="s">
        <v>101</v>
      </c>
      <c r="C206" s="4">
        <v>384</v>
      </c>
      <c r="D206" s="8">
        <v>3.96</v>
      </c>
      <c r="E206" s="4">
        <v>139</v>
      </c>
      <c r="F206" s="8">
        <v>4.8600000000000003</v>
      </c>
      <c r="G206" s="4">
        <v>245</v>
      </c>
      <c r="H206" s="8">
        <v>3.59</v>
      </c>
      <c r="I206" s="4">
        <v>0</v>
      </c>
    </row>
    <row r="207" spans="1:9" x14ac:dyDescent="0.2">
      <c r="A207" s="2">
        <v>7</v>
      </c>
      <c r="B207" s="1" t="s">
        <v>96</v>
      </c>
      <c r="C207" s="4">
        <v>378</v>
      </c>
      <c r="D207" s="8">
        <v>3.89</v>
      </c>
      <c r="E207" s="4">
        <v>204</v>
      </c>
      <c r="F207" s="8">
        <v>7.14</v>
      </c>
      <c r="G207" s="4">
        <v>174</v>
      </c>
      <c r="H207" s="8">
        <v>2.5499999999999998</v>
      </c>
      <c r="I207" s="4">
        <v>0</v>
      </c>
    </row>
    <row r="208" spans="1:9" x14ac:dyDescent="0.2">
      <c r="A208" s="2">
        <v>8</v>
      </c>
      <c r="B208" s="1" t="s">
        <v>89</v>
      </c>
      <c r="C208" s="4">
        <v>366</v>
      </c>
      <c r="D208" s="8">
        <v>3.77</v>
      </c>
      <c r="E208" s="4">
        <v>61</v>
      </c>
      <c r="F208" s="8">
        <v>2.13</v>
      </c>
      <c r="G208" s="4">
        <v>305</v>
      </c>
      <c r="H208" s="8">
        <v>4.46</v>
      </c>
      <c r="I208" s="4">
        <v>0</v>
      </c>
    </row>
    <row r="209" spans="1:9" x14ac:dyDescent="0.2">
      <c r="A209" s="2">
        <v>9</v>
      </c>
      <c r="B209" s="1" t="s">
        <v>106</v>
      </c>
      <c r="C209" s="4">
        <v>317</v>
      </c>
      <c r="D209" s="8">
        <v>3.27</v>
      </c>
      <c r="E209" s="4">
        <v>246</v>
      </c>
      <c r="F209" s="8">
        <v>8.61</v>
      </c>
      <c r="G209" s="4">
        <v>70</v>
      </c>
      <c r="H209" s="8">
        <v>1.02</v>
      </c>
      <c r="I209" s="4">
        <v>1</v>
      </c>
    </row>
    <row r="210" spans="1:9" x14ac:dyDescent="0.2">
      <c r="A210" s="2">
        <v>10</v>
      </c>
      <c r="B210" s="1" t="s">
        <v>88</v>
      </c>
      <c r="C210" s="4">
        <v>310</v>
      </c>
      <c r="D210" s="8">
        <v>3.19</v>
      </c>
      <c r="E210" s="4">
        <v>18</v>
      </c>
      <c r="F210" s="8">
        <v>0.63</v>
      </c>
      <c r="G210" s="4">
        <v>292</v>
      </c>
      <c r="H210" s="8">
        <v>4.2699999999999996</v>
      </c>
      <c r="I210" s="4">
        <v>0</v>
      </c>
    </row>
    <row r="211" spans="1:9" x14ac:dyDescent="0.2">
      <c r="A211" s="2">
        <v>11</v>
      </c>
      <c r="B211" s="1" t="s">
        <v>90</v>
      </c>
      <c r="C211" s="4">
        <v>265</v>
      </c>
      <c r="D211" s="8">
        <v>2.73</v>
      </c>
      <c r="E211" s="4">
        <v>20</v>
      </c>
      <c r="F211" s="8">
        <v>0.7</v>
      </c>
      <c r="G211" s="4">
        <v>245</v>
      </c>
      <c r="H211" s="8">
        <v>3.59</v>
      </c>
      <c r="I211" s="4">
        <v>0</v>
      </c>
    </row>
    <row r="212" spans="1:9" x14ac:dyDescent="0.2">
      <c r="A212" s="2">
        <v>12</v>
      </c>
      <c r="B212" s="1" t="s">
        <v>109</v>
      </c>
      <c r="C212" s="4">
        <v>260</v>
      </c>
      <c r="D212" s="8">
        <v>2.68</v>
      </c>
      <c r="E212" s="4">
        <v>21</v>
      </c>
      <c r="F212" s="8">
        <v>0.73</v>
      </c>
      <c r="G212" s="4">
        <v>239</v>
      </c>
      <c r="H212" s="8">
        <v>3.5</v>
      </c>
      <c r="I212" s="4">
        <v>0</v>
      </c>
    </row>
    <row r="213" spans="1:9" x14ac:dyDescent="0.2">
      <c r="A213" s="2">
        <v>13</v>
      </c>
      <c r="B213" s="1" t="s">
        <v>110</v>
      </c>
      <c r="C213" s="4">
        <v>259</v>
      </c>
      <c r="D213" s="8">
        <v>2.67</v>
      </c>
      <c r="E213" s="4">
        <v>27</v>
      </c>
      <c r="F213" s="8">
        <v>0.94</v>
      </c>
      <c r="G213" s="4">
        <v>231</v>
      </c>
      <c r="H213" s="8">
        <v>3.38</v>
      </c>
      <c r="I213" s="4">
        <v>1</v>
      </c>
    </row>
    <row r="214" spans="1:9" x14ac:dyDescent="0.2">
      <c r="A214" s="2">
        <v>14</v>
      </c>
      <c r="B214" s="1" t="s">
        <v>107</v>
      </c>
      <c r="C214" s="4">
        <v>255</v>
      </c>
      <c r="D214" s="8">
        <v>2.63</v>
      </c>
      <c r="E214" s="4">
        <v>14</v>
      </c>
      <c r="F214" s="8">
        <v>0.49</v>
      </c>
      <c r="G214" s="4">
        <v>239</v>
      </c>
      <c r="H214" s="8">
        <v>3.5</v>
      </c>
      <c r="I214" s="4">
        <v>2</v>
      </c>
    </row>
    <row r="215" spans="1:9" x14ac:dyDescent="0.2">
      <c r="A215" s="2">
        <v>15</v>
      </c>
      <c r="B215" s="1" t="s">
        <v>95</v>
      </c>
      <c r="C215" s="4">
        <v>252</v>
      </c>
      <c r="D215" s="8">
        <v>2.6</v>
      </c>
      <c r="E215" s="4">
        <v>63</v>
      </c>
      <c r="F215" s="8">
        <v>2.2000000000000002</v>
      </c>
      <c r="G215" s="4">
        <v>189</v>
      </c>
      <c r="H215" s="8">
        <v>2.77</v>
      </c>
      <c r="I215" s="4">
        <v>0</v>
      </c>
    </row>
    <row r="216" spans="1:9" x14ac:dyDescent="0.2">
      <c r="A216" s="2">
        <v>16</v>
      </c>
      <c r="B216" s="1" t="s">
        <v>94</v>
      </c>
      <c r="C216" s="4">
        <v>194</v>
      </c>
      <c r="D216" s="8">
        <v>2</v>
      </c>
      <c r="E216" s="4">
        <v>13</v>
      </c>
      <c r="F216" s="8">
        <v>0.45</v>
      </c>
      <c r="G216" s="4">
        <v>181</v>
      </c>
      <c r="H216" s="8">
        <v>2.65</v>
      </c>
      <c r="I216" s="4">
        <v>0</v>
      </c>
    </row>
    <row r="217" spans="1:9" x14ac:dyDescent="0.2">
      <c r="A217" s="2">
        <v>17</v>
      </c>
      <c r="B217" s="1" t="s">
        <v>102</v>
      </c>
      <c r="C217" s="4">
        <v>180</v>
      </c>
      <c r="D217" s="8">
        <v>1.85</v>
      </c>
      <c r="E217" s="4">
        <v>38</v>
      </c>
      <c r="F217" s="8">
        <v>1.33</v>
      </c>
      <c r="G217" s="4">
        <v>138</v>
      </c>
      <c r="H217" s="8">
        <v>2.02</v>
      </c>
      <c r="I217" s="4">
        <v>0</v>
      </c>
    </row>
    <row r="218" spans="1:9" x14ac:dyDescent="0.2">
      <c r="A218" s="2">
        <v>18</v>
      </c>
      <c r="B218" s="1" t="s">
        <v>93</v>
      </c>
      <c r="C218" s="4">
        <v>178</v>
      </c>
      <c r="D218" s="8">
        <v>1.83</v>
      </c>
      <c r="E218" s="4">
        <v>7</v>
      </c>
      <c r="F218" s="8">
        <v>0.24</v>
      </c>
      <c r="G218" s="4">
        <v>171</v>
      </c>
      <c r="H218" s="8">
        <v>2.5</v>
      </c>
      <c r="I218" s="4">
        <v>0</v>
      </c>
    </row>
    <row r="219" spans="1:9" x14ac:dyDescent="0.2">
      <c r="A219" s="2">
        <v>19</v>
      </c>
      <c r="B219" s="1" t="s">
        <v>105</v>
      </c>
      <c r="C219" s="4">
        <v>174</v>
      </c>
      <c r="D219" s="8">
        <v>1.79</v>
      </c>
      <c r="E219" s="4">
        <v>67</v>
      </c>
      <c r="F219" s="8">
        <v>2.34</v>
      </c>
      <c r="G219" s="4">
        <v>106</v>
      </c>
      <c r="H219" s="8">
        <v>1.55</v>
      </c>
      <c r="I219" s="4">
        <v>0</v>
      </c>
    </row>
    <row r="220" spans="1:9" x14ac:dyDescent="0.2">
      <c r="A220" s="2">
        <v>20</v>
      </c>
      <c r="B220" s="1" t="s">
        <v>91</v>
      </c>
      <c r="C220" s="4">
        <v>162</v>
      </c>
      <c r="D220" s="8">
        <v>1.67</v>
      </c>
      <c r="E220" s="4">
        <v>0</v>
      </c>
      <c r="F220" s="8">
        <v>0</v>
      </c>
      <c r="G220" s="4">
        <v>162</v>
      </c>
      <c r="H220" s="8">
        <v>2.37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100</v>
      </c>
      <c r="C223" s="4">
        <v>1665</v>
      </c>
      <c r="D223" s="8">
        <v>16.04</v>
      </c>
      <c r="E223" s="4">
        <v>753</v>
      </c>
      <c r="F223" s="8">
        <v>21.02</v>
      </c>
      <c r="G223" s="4">
        <v>910</v>
      </c>
      <c r="H223" s="8">
        <v>13.49</v>
      </c>
      <c r="I223" s="4">
        <v>2</v>
      </c>
    </row>
    <row r="224" spans="1:9" x14ac:dyDescent="0.2">
      <c r="A224" s="2">
        <v>2</v>
      </c>
      <c r="B224" s="1" t="s">
        <v>103</v>
      </c>
      <c r="C224" s="4">
        <v>1221</v>
      </c>
      <c r="D224" s="8">
        <v>11.76</v>
      </c>
      <c r="E224" s="4">
        <v>842</v>
      </c>
      <c r="F224" s="8">
        <v>23.5</v>
      </c>
      <c r="G224" s="4">
        <v>379</v>
      </c>
      <c r="H224" s="8">
        <v>5.62</v>
      </c>
      <c r="I224" s="4">
        <v>0</v>
      </c>
    </row>
    <row r="225" spans="1:9" x14ac:dyDescent="0.2">
      <c r="A225" s="2">
        <v>3</v>
      </c>
      <c r="B225" s="1" t="s">
        <v>104</v>
      </c>
      <c r="C225" s="4">
        <v>634</v>
      </c>
      <c r="D225" s="8">
        <v>6.11</v>
      </c>
      <c r="E225" s="4">
        <v>428</v>
      </c>
      <c r="F225" s="8">
        <v>11.95</v>
      </c>
      <c r="G225" s="4">
        <v>206</v>
      </c>
      <c r="H225" s="8">
        <v>3.05</v>
      </c>
      <c r="I225" s="4">
        <v>0</v>
      </c>
    </row>
    <row r="226" spans="1:9" x14ac:dyDescent="0.2">
      <c r="A226" s="2">
        <v>4</v>
      </c>
      <c r="B226" s="1" t="s">
        <v>101</v>
      </c>
      <c r="C226" s="4">
        <v>601</v>
      </c>
      <c r="D226" s="8">
        <v>5.79</v>
      </c>
      <c r="E226" s="4">
        <v>206</v>
      </c>
      <c r="F226" s="8">
        <v>5.75</v>
      </c>
      <c r="G226" s="4">
        <v>395</v>
      </c>
      <c r="H226" s="8">
        <v>5.86</v>
      </c>
      <c r="I226" s="4">
        <v>0</v>
      </c>
    </row>
    <row r="227" spans="1:9" x14ac:dyDescent="0.2">
      <c r="A227" s="2">
        <v>5</v>
      </c>
      <c r="B227" s="1" t="s">
        <v>98</v>
      </c>
      <c r="C227" s="4">
        <v>449</v>
      </c>
      <c r="D227" s="8">
        <v>4.33</v>
      </c>
      <c r="E227" s="4">
        <v>165</v>
      </c>
      <c r="F227" s="8">
        <v>4.6100000000000003</v>
      </c>
      <c r="G227" s="4">
        <v>284</v>
      </c>
      <c r="H227" s="8">
        <v>4.21</v>
      </c>
      <c r="I227" s="4">
        <v>0</v>
      </c>
    </row>
    <row r="228" spans="1:9" x14ac:dyDescent="0.2">
      <c r="A228" s="2">
        <v>6</v>
      </c>
      <c r="B228" s="1" t="s">
        <v>106</v>
      </c>
      <c r="C228" s="4">
        <v>382</v>
      </c>
      <c r="D228" s="8">
        <v>3.68</v>
      </c>
      <c r="E228" s="4">
        <v>310</v>
      </c>
      <c r="F228" s="8">
        <v>8.65</v>
      </c>
      <c r="G228" s="4">
        <v>71</v>
      </c>
      <c r="H228" s="8">
        <v>1.05</v>
      </c>
      <c r="I228" s="4">
        <v>1</v>
      </c>
    </row>
    <row r="229" spans="1:9" x14ac:dyDescent="0.2">
      <c r="A229" s="2">
        <v>7</v>
      </c>
      <c r="B229" s="1" t="s">
        <v>96</v>
      </c>
      <c r="C229" s="4">
        <v>315</v>
      </c>
      <c r="D229" s="8">
        <v>3.03</v>
      </c>
      <c r="E229" s="4">
        <v>170</v>
      </c>
      <c r="F229" s="8">
        <v>4.74</v>
      </c>
      <c r="G229" s="4">
        <v>145</v>
      </c>
      <c r="H229" s="8">
        <v>2.15</v>
      </c>
      <c r="I229" s="4">
        <v>0</v>
      </c>
    </row>
    <row r="230" spans="1:9" x14ac:dyDescent="0.2">
      <c r="A230" s="2">
        <v>8</v>
      </c>
      <c r="B230" s="1" t="s">
        <v>89</v>
      </c>
      <c r="C230" s="4">
        <v>287</v>
      </c>
      <c r="D230" s="8">
        <v>2.77</v>
      </c>
      <c r="E230" s="4">
        <v>54</v>
      </c>
      <c r="F230" s="8">
        <v>1.51</v>
      </c>
      <c r="G230" s="4">
        <v>233</v>
      </c>
      <c r="H230" s="8">
        <v>3.45</v>
      </c>
      <c r="I230" s="4">
        <v>0</v>
      </c>
    </row>
    <row r="231" spans="1:9" x14ac:dyDescent="0.2">
      <c r="A231" s="2">
        <v>9</v>
      </c>
      <c r="B231" s="1" t="s">
        <v>99</v>
      </c>
      <c r="C231" s="4">
        <v>279</v>
      </c>
      <c r="D231" s="8">
        <v>2.69</v>
      </c>
      <c r="E231" s="4">
        <v>17</v>
      </c>
      <c r="F231" s="8">
        <v>0.47</v>
      </c>
      <c r="G231" s="4">
        <v>262</v>
      </c>
      <c r="H231" s="8">
        <v>3.88</v>
      </c>
      <c r="I231" s="4">
        <v>0</v>
      </c>
    </row>
    <row r="232" spans="1:9" x14ac:dyDescent="0.2">
      <c r="A232" s="2">
        <v>10</v>
      </c>
      <c r="B232" s="1" t="s">
        <v>90</v>
      </c>
      <c r="C232" s="4">
        <v>268</v>
      </c>
      <c r="D232" s="8">
        <v>2.58</v>
      </c>
      <c r="E232" s="4">
        <v>16</v>
      </c>
      <c r="F232" s="8">
        <v>0.45</v>
      </c>
      <c r="G232" s="4">
        <v>252</v>
      </c>
      <c r="H232" s="8">
        <v>3.74</v>
      </c>
      <c r="I232" s="4">
        <v>0</v>
      </c>
    </row>
    <row r="233" spans="1:9" x14ac:dyDescent="0.2">
      <c r="A233" s="2">
        <v>11</v>
      </c>
      <c r="B233" s="1" t="s">
        <v>88</v>
      </c>
      <c r="C233" s="4">
        <v>245</v>
      </c>
      <c r="D233" s="8">
        <v>2.36</v>
      </c>
      <c r="E233" s="4">
        <v>22</v>
      </c>
      <c r="F233" s="8">
        <v>0.61</v>
      </c>
      <c r="G233" s="4">
        <v>223</v>
      </c>
      <c r="H233" s="8">
        <v>3.31</v>
      </c>
      <c r="I233" s="4">
        <v>0</v>
      </c>
    </row>
    <row r="234" spans="1:9" x14ac:dyDescent="0.2">
      <c r="A234" s="2">
        <v>12</v>
      </c>
      <c r="B234" s="1" t="s">
        <v>105</v>
      </c>
      <c r="C234" s="4">
        <v>244</v>
      </c>
      <c r="D234" s="8">
        <v>2.35</v>
      </c>
      <c r="E234" s="4">
        <v>106</v>
      </c>
      <c r="F234" s="8">
        <v>2.96</v>
      </c>
      <c r="G234" s="4">
        <v>137</v>
      </c>
      <c r="H234" s="8">
        <v>2.0299999999999998</v>
      </c>
      <c r="I234" s="4">
        <v>1</v>
      </c>
    </row>
    <row r="235" spans="1:9" x14ac:dyDescent="0.2">
      <c r="A235" s="2">
        <v>13</v>
      </c>
      <c r="B235" s="1" t="s">
        <v>107</v>
      </c>
      <c r="C235" s="4">
        <v>234</v>
      </c>
      <c r="D235" s="8">
        <v>2.25</v>
      </c>
      <c r="E235" s="4">
        <v>6</v>
      </c>
      <c r="F235" s="8">
        <v>0.17</v>
      </c>
      <c r="G235" s="4">
        <v>225</v>
      </c>
      <c r="H235" s="8">
        <v>3.34</v>
      </c>
      <c r="I235" s="4">
        <v>3</v>
      </c>
    </row>
    <row r="236" spans="1:9" x14ac:dyDescent="0.2">
      <c r="A236" s="2">
        <v>14</v>
      </c>
      <c r="B236" s="1" t="s">
        <v>102</v>
      </c>
      <c r="C236" s="4">
        <v>233</v>
      </c>
      <c r="D236" s="8">
        <v>2.2400000000000002</v>
      </c>
      <c r="E236" s="4">
        <v>47</v>
      </c>
      <c r="F236" s="8">
        <v>1.31</v>
      </c>
      <c r="G236" s="4">
        <v>184</v>
      </c>
      <c r="H236" s="8">
        <v>2.73</v>
      </c>
      <c r="I236" s="4">
        <v>1</v>
      </c>
    </row>
    <row r="237" spans="1:9" x14ac:dyDescent="0.2">
      <c r="A237" s="2">
        <v>15</v>
      </c>
      <c r="B237" s="1" t="s">
        <v>93</v>
      </c>
      <c r="C237" s="4">
        <v>229</v>
      </c>
      <c r="D237" s="8">
        <v>2.21</v>
      </c>
      <c r="E237" s="4">
        <v>5</v>
      </c>
      <c r="F237" s="8">
        <v>0.14000000000000001</v>
      </c>
      <c r="G237" s="4">
        <v>224</v>
      </c>
      <c r="H237" s="8">
        <v>3.32</v>
      </c>
      <c r="I237" s="4">
        <v>0</v>
      </c>
    </row>
    <row r="238" spans="1:9" x14ac:dyDescent="0.2">
      <c r="A238" s="2">
        <v>16</v>
      </c>
      <c r="B238" s="1" t="s">
        <v>91</v>
      </c>
      <c r="C238" s="4">
        <v>201</v>
      </c>
      <c r="D238" s="8">
        <v>1.94</v>
      </c>
      <c r="E238" s="4">
        <v>4</v>
      </c>
      <c r="F238" s="8">
        <v>0.11</v>
      </c>
      <c r="G238" s="4">
        <v>197</v>
      </c>
      <c r="H238" s="8">
        <v>2.92</v>
      </c>
      <c r="I238" s="4">
        <v>0</v>
      </c>
    </row>
    <row r="239" spans="1:9" x14ac:dyDescent="0.2">
      <c r="A239" s="2">
        <v>17</v>
      </c>
      <c r="B239" s="1" t="s">
        <v>95</v>
      </c>
      <c r="C239" s="4">
        <v>189</v>
      </c>
      <c r="D239" s="8">
        <v>1.82</v>
      </c>
      <c r="E239" s="4">
        <v>71</v>
      </c>
      <c r="F239" s="8">
        <v>1.98</v>
      </c>
      <c r="G239" s="4">
        <v>118</v>
      </c>
      <c r="H239" s="8">
        <v>1.75</v>
      </c>
      <c r="I239" s="4">
        <v>0</v>
      </c>
    </row>
    <row r="240" spans="1:9" x14ac:dyDescent="0.2">
      <c r="A240" s="2">
        <v>18</v>
      </c>
      <c r="B240" s="1" t="s">
        <v>94</v>
      </c>
      <c r="C240" s="4">
        <v>182</v>
      </c>
      <c r="D240" s="8">
        <v>1.75</v>
      </c>
      <c r="E240" s="4">
        <v>10</v>
      </c>
      <c r="F240" s="8">
        <v>0.28000000000000003</v>
      </c>
      <c r="G240" s="4">
        <v>172</v>
      </c>
      <c r="H240" s="8">
        <v>2.5499999999999998</v>
      </c>
      <c r="I240" s="4">
        <v>0</v>
      </c>
    </row>
    <row r="241" spans="1:9" x14ac:dyDescent="0.2">
      <c r="A241" s="2">
        <v>19</v>
      </c>
      <c r="B241" s="1" t="s">
        <v>110</v>
      </c>
      <c r="C241" s="4">
        <v>159</v>
      </c>
      <c r="D241" s="8">
        <v>1.53</v>
      </c>
      <c r="E241" s="4">
        <v>12</v>
      </c>
      <c r="F241" s="8">
        <v>0.33</v>
      </c>
      <c r="G241" s="4">
        <v>147</v>
      </c>
      <c r="H241" s="8">
        <v>2.1800000000000002</v>
      </c>
      <c r="I241" s="4">
        <v>0</v>
      </c>
    </row>
    <row r="242" spans="1:9" x14ac:dyDescent="0.2">
      <c r="A242" s="2">
        <v>20</v>
      </c>
      <c r="B242" s="1" t="s">
        <v>119</v>
      </c>
      <c r="C242" s="4">
        <v>156</v>
      </c>
      <c r="D242" s="8">
        <v>1.5</v>
      </c>
      <c r="E242" s="4">
        <v>24</v>
      </c>
      <c r="F242" s="8">
        <v>0.67</v>
      </c>
      <c r="G242" s="4">
        <v>132</v>
      </c>
      <c r="H242" s="8">
        <v>1.96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100</v>
      </c>
      <c r="C245" s="4">
        <v>1148</v>
      </c>
      <c r="D245" s="8">
        <v>15.57</v>
      </c>
      <c r="E245" s="4">
        <v>253</v>
      </c>
      <c r="F245" s="8">
        <v>11.49</v>
      </c>
      <c r="G245" s="4">
        <v>894</v>
      </c>
      <c r="H245" s="8">
        <v>17.350000000000001</v>
      </c>
      <c r="I245" s="4">
        <v>0</v>
      </c>
    </row>
    <row r="246" spans="1:9" x14ac:dyDescent="0.2">
      <c r="A246" s="2">
        <v>2</v>
      </c>
      <c r="B246" s="1" t="s">
        <v>103</v>
      </c>
      <c r="C246" s="4">
        <v>781</v>
      </c>
      <c r="D246" s="8">
        <v>10.59</v>
      </c>
      <c r="E246" s="4">
        <v>497</v>
      </c>
      <c r="F246" s="8">
        <v>22.58</v>
      </c>
      <c r="G246" s="4">
        <v>283</v>
      </c>
      <c r="H246" s="8">
        <v>5.49</v>
      </c>
      <c r="I246" s="4">
        <v>1</v>
      </c>
    </row>
    <row r="247" spans="1:9" x14ac:dyDescent="0.2">
      <c r="A247" s="2">
        <v>3</v>
      </c>
      <c r="B247" s="1" t="s">
        <v>104</v>
      </c>
      <c r="C247" s="4">
        <v>576</v>
      </c>
      <c r="D247" s="8">
        <v>7.81</v>
      </c>
      <c r="E247" s="4">
        <v>351</v>
      </c>
      <c r="F247" s="8">
        <v>15.95</v>
      </c>
      <c r="G247" s="4">
        <v>225</v>
      </c>
      <c r="H247" s="8">
        <v>4.37</v>
      </c>
      <c r="I247" s="4">
        <v>0</v>
      </c>
    </row>
    <row r="248" spans="1:9" x14ac:dyDescent="0.2">
      <c r="A248" s="2">
        <v>4</v>
      </c>
      <c r="B248" s="1" t="s">
        <v>101</v>
      </c>
      <c r="C248" s="4">
        <v>534</v>
      </c>
      <c r="D248" s="8">
        <v>7.24</v>
      </c>
      <c r="E248" s="4">
        <v>130</v>
      </c>
      <c r="F248" s="8">
        <v>5.91</v>
      </c>
      <c r="G248" s="4">
        <v>404</v>
      </c>
      <c r="H248" s="8">
        <v>7.84</v>
      </c>
      <c r="I248" s="4">
        <v>0</v>
      </c>
    </row>
    <row r="249" spans="1:9" x14ac:dyDescent="0.2">
      <c r="A249" s="2">
        <v>5</v>
      </c>
      <c r="B249" s="1" t="s">
        <v>98</v>
      </c>
      <c r="C249" s="4">
        <v>426</v>
      </c>
      <c r="D249" s="8">
        <v>5.78</v>
      </c>
      <c r="E249" s="4">
        <v>149</v>
      </c>
      <c r="F249" s="8">
        <v>6.77</v>
      </c>
      <c r="G249" s="4">
        <v>277</v>
      </c>
      <c r="H249" s="8">
        <v>5.38</v>
      </c>
      <c r="I249" s="4">
        <v>0</v>
      </c>
    </row>
    <row r="250" spans="1:9" x14ac:dyDescent="0.2">
      <c r="A250" s="2">
        <v>6</v>
      </c>
      <c r="B250" s="1" t="s">
        <v>95</v>
      </c>
      <c r="C250" s="4">
        <v>315</v>
      </c>
      <c r="D250" s="8">
        <v>4.2699999999999996</v>
      </c>
      <c r="E250" s="4">
        <v>103</v>
      </c>
      <c r="F250" s="8">
        <v>4.68</v>
      </c>
      <c r="G250" s="4">
        <v>212</v>
      </c>
      <c r="H250" s="8">
        <v>4.1100000000000003</v>
      </c>
      <c r="I250" s="4">
        <v>0</v>
      </c>
    </row>
    <row r="251" spans="1:9" x14ac:dyDescent="0.2">
      <c r="A251" s="2">
        <v>7</v>
      </c>
      <c r="B251" s="1" t="s">
        <v>106</v>
      </c>
      <c r="C251" s="4">
        <v>312</v>
      </c>
      <c r="D251" s="8">
        <v>4.2300000000000004</v>
      </c>
      <c r="E251" s="4">
        <v>241</v>
      </c>
      <c r="F251" s="8">
        <v>10.95</v>
      </c>
      <c r="G251" s="4">
        <v>71</v>
      </c>
      <c r="H251" s="8">
        <v>1.38</v>
      </c>
      <c r="I251" s="4">
        <v>0</v>
      </c>
    </row>
    <row r="252" spans="1:9" x14ac:dyDescent="0.2">
      <c r="A252" s="2">
        <v>8</v>
      </c>
      <c r="B252" s="1" t="s">
        <v>96</v>
      </c>
      <c r="C252" s="4">
        <v>231</v>
      </c>
      <c r="D252" s="8">
        <v>3.13</v>
      </c>
      <c r="E252" s="4">
        <v>108</v>
      </c>
      <c r="F252" s="8">
        <v>4.91</v>
      </c>
      <c r="G252" s="4">
        <v>123</v>
      </c>
      <c r="H252" s="8">
        <v>2.39</v>
      </c>
      <c r="I252" s="4">
        <v>0</v>
      </c>
    </row>
    <row r="253" spans="1:9" x14ac:dyDescent="0.2">
      <c r="A253" s="2">
        <v>9</v>
      </c>
      <c r="B253" s="1" t="s">
        <v>105</v>
      </c>
      <c r="C253" s="4">
        <v>222</v>
      </c>
      <c r="D253" s="8">
        <v>3.01</v>
      </c>
      <c r="E253" s="4">
        <v>78</v>
      </c>
      <c r="F253" s="8">
        <v>3.54</v>
      </c>
      <c r="G253" s="4">
        <v>139</v>
      </c>
      <c r="H253" s="8">
        <v>2.7</v>
      </c>
      <c r="I253" s="4">
        <v>3</v>
      </c>
    </row>
    <row r="254" spans="1:9" x14ac:dyDescent="0.2">
      <c r="A254" s="2">
        <v>10</v>
      </c>
      <c r="B254" s="1" t="s">
        <v>102</v>
      </c>
      <c r="C254" s="4">
        <v>201</v>
      </c>
      <c r="D254" s="8">
        <v>2.73</v>
      </c>
      <c r="E254" s="4">
        <v>33</v>
      </c>
      <c r="F254" s="8">
        <v>1.5</v>
      </c>
      <c r="G254" s="4">
        <v>168</v>
      </c>
      <c r="H254" s="8">
        <v>3.26</v>
      </c>
      <c r="I254" s="4">
        <v>0</v>
      </c>
    </row>
    <row r="255" spans="1:9" x14ac:dyDescent="0.2">
      <c r="A255" s="2">
        <v>11</v>
      </c>
      <c r="B255" s="1" t="s">
        <v>99</v>
      </c>
      <c r="C255" s="4">
        <v>197</v>
      </c>
      <c r="D255" s="8">
        <v>2.67</v>
      </c>
      <c r="E255" s="4">
        <v>15</v>
      </c>
      <c r="F255" s="8">
        <v>0.68</v>
      </c>
      <c r="G255" s="4">
        <v>182</v>
      </c>
      <c r="H255" s="8">
        <v>3.53</v>
      </c>
      <c r="I255" s="4">
        <v>0</v>
      </c>
    </row>
    <row r="256" spans="1:9" x14ac:dyDescent="0.2">
      <c r="A256" s="2">
        <v>12</v>
      </c>
      <c r="B256" s="1" t="s">
        <v>107</v>
      </c>
      <c r="C256" s="4">
        <v>166</v>
      </c>
      <c r="D256" s="8">
        <v>2.25</v>
      </c>
      <c r="E256" s="4">
        <v>4</v>
      </c>
      <c r="F256" s="8">
        <v>0.18</v>
      </c>
      <c r="G256" s="4">
        <v>162</v>
      </c>
      <c r="H256" s="8">
        <v>3.14</v>
      </c>
      <c r="I256" s="4">
        <v>0</v>
      </c>
    </row>
    <row r="257" spans="1:9" x14ac:dyDescent="0.2">
      <c r="A257" s="2">
        <v>13</v>
      </c>
      <c r="B257" s="1" t="s">
        <v>92</v>
      </c>
      <c r="C257" s="4">
        <v>163</v>
      </c>
      <c r="D257" s="8">
        <v>2.21</v>
      </c>
      <c r="E257" s="4">
        <v>1</v>
      </c>
      <c r="F257" s="8">
        <v>0.05</v>
      </c>
      <c r="G257" s="4">
        <v>162</v>
      </c>
      <c r="H257" s="8">
        <v>3.14</v>
      </c>
      <c r="I257" s="4">
        <v>0</v>
      </c>
    </row>
    <row r="258" spans="1:9" x14ac:dyDescent="0.2">
      <c r="A258" s="2">
        <v>14</v>
      </c>
      <c r="B258" s="1" t="s">
        <v>89</v>
      </c>
      <c r="C258" s="4">
        <v>146</v>
      </c>
      <c r="D258" s="8">
        <v>1.98</v>
      </c>
      <c r="E258" s="4">
        <v>23</v>
      </c>
      <c r="F258" s="8">
        <v>1.04</v>
      </c>
      <c r="G258" s="4">
        <v>123</v>
      </c>
      <c r="H258" s="8">
        <v>2.39</v>
      </c>
      <c r="I258" s="4">
        <v>0</v>
      </c>
    </row>
    <row r="259" spans="1:9" x14ac:dyDescent="0.2">
      <c r="A259" s="2">
        <v>15</v>
      </c>
      <c r="B259" s="1" t="s">
        <v>88</v>
      </c>
      <c r="C259" s="4">
        <v>141</v>
      </c>
      <c r="D259" s="8">
        <v>1.91</v>
      </c>
      <c r="E259" s="4">
        <v>15</v>
      </c>
      <c r="F259" s="8">
        <v>0.68</v>
      </c>
      <c r="G259" s="4">
        <v>126</v>
      </c>
      <c r="H259" s="8">
        <v>2.4500000000000002</v>
      </c>
      <c r="I259" s="4">
        <v>0</v>
      </c>
    </row>
    <row r="260" spans="1:9" x14ac:dyDescent="0.2">
      <c r="A260" s="2">
        <v>16</v>
      </c>
      <c r="B260" s="1" t="s">
        <v>90</v>
      </c>
      <c r="C260" s="4">
        <v>125</v>
      </c>
      <c r="D260" s="8">
        <v>1.7</v>
      </c>
      <c r="E260" s="4">
        <v>15</v>
      </c>
      <c r="F260" s="8">
        <v>0.68</v>
      </c>
      <c r="G260" s="4">
        <v>110</v>
      </c>
      <c r="H260" s="8">
        <v>2.13</v>
      </c>
      <c r="I260" s="4">
        <v>0</v>
      </c>
    </row>
    <row r="261" spans="1:9" x14ac:dyDescent="0.2">
      <c r="A261" s="2">
        <v>17</v>
      </c>
      <c r="B261" s="1" t="s">
        <v>94</v>
      </c>
      <c r="C261" s="4">
        <v>115</v>
      </c>
      <c r="D261" s="8">
        <v>1.56</v>
      </c>
      <c r="E261" s="4">
        <v>6</v>
      </c>
      <c r="F261" s="8">
        <v>0.27</v>
      </c>
      <c r="G261" s="4">
        <v>109</v>
      </c>
      <c r="H261" s="8">
        <v>2.12</v>
      </c>
      <c r="I261" s="4">
        <v>0</v>
      </c>
    </row>
    <row r="262" spans="1:9" x14ac:dyDescent="0.2">
      <c r="A262" s="2">
        <v>18</v>
      </c>
      <c r="B262" s="1" t="s">
        <v>114</v>
      </c>
      <c r="C262" s="4">
        <v>113</v>
      </c>
      <c r="D262" s="8">
        <v>1.53</v>
      </c>
      <c r="E262" s="4">
        <v>7</v>
      </c>
      <c r="F262" s="8">
        <v>0.32</v>
      </c>
      <c r="G262" s="4">
        <v>105</v>
      </c>
      <c r="H262" s="8">
        <v>2.04</v>
      </c>
      <c r="I262" s="4">
        <v>1</v>
      </c>
    </row>
    <row r="263" spans="1:9" x14ac:dyDescent="0.2">
      <c r="A263" s="2">
        <v>19</v>
      </c>
      <c r="B263" s="1" t="s">
        <v>91</v>
      </c>
      <c r="C263" s="4">
        <v>111</v>
      </c>
      <c r="D263" s="8">
        <v>1.51</v>
      </c>
      <c r="E263" s="4">
        <v>2</v>
      </c>
      <c r="F263" s="8">
        <v>0.09</v>
      </c>
      <c r="G263" s="4">
        <v>109</v>
      </c>
      <c r="H263" s="8">
        <v>2.12</v>
      </c>
      <c r="I263" s="4">
        <v>0</v>
      </c>
    </row>
    <row r="264" spans="1:9" x14ac:dyDescent="0.2">
      <c r="A264" s="2">
        <v>20</v>
      </c>
      <c r="B264" s="1" t="s">
        <v>115</v>
      </c>
      <c r="C264" s="4">
        <v>108</v>
      </c>
      <c r="D264" s="8">
        <v>1.47</v>
      </c>
      <c r="E264" s="4">
        <v>29</v>
      </c>
      <c r="F264" s="8">
        <v>1.32</v>
      </c>
      <c r="G264" s="4">
        <v>79</v>
      </c>
      <c r="H264" s="8">
        <v>1.53</v>
      </c>
      <c r="I264" s="4">
        <v>0</v>
      </c>
    </row>
    <row r="265" spans="1:9" x14ac:dyDescent="0.2">
      <c r="A265" s="1"/>
      <c r="C265" s="4"/>
      <c r="D265" s="8"/>
      <c r="E265" s="4"/>
      <c r="F265" s="8"/>
      <c r="G265" s="4"/>
      <c r="H265" s="8"/>
      <c r="I265" s="4"/>
    </row>
    <row r="266" spans="1:9" x14ac:dyDescent="0.2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2">
      <c r="A267" s="2">
        <v>1</v>
      </c>
      <c r="B267" s="1" t="s">
        <v>100</v>
      </c>
      <c r="C267" s="4">
        <v>2256</v>
      </c>
      <c r="D267" s="8">
        <v>13.24</v>
      </c>
      <c r="E267" s="4">
        <v>751</v>
      </c>
      <c r="F267" s="8">
        <v>12.76</v>
      </c>
      <c r="G267" s="4">
        <v>1502</v>
      </c>
      <c r="H267" s="8">
        <v>13.49</v>
      </c>
      <c r="I267" s="4">
        <v>3</v>
      </c>
    </row>
    <row r="268" spans="1:9" x14ac:dyDescent="0.2">
      <c r="A268" s="2">
        <v>2</v>
      </c>
      <c r="B268" s="1" t="s">
        <v>103</v>
      </c>
      <c r="C268" s="4">
        <v>1776</v>
      </c>
      <c r="D268" s="8">
        <v>10.42</v>
      </c>
      <c r="E268" s="4">
        <v>1331</v>
      </c>
      <c r="F268" s="8">
        <v>22.61</v>
      </c>
      <c r="G268" s="4">
        <v>445</v>
      </c>
      <c r="H268" s="8">
        <v>4</v>
      </c>
      <c r="I268" s="4">
        <v>0</v>
      </c>
    </row>
    <row r="269" spans="1:9" x14ac:dyDescent="0.2">
      <c r="A269" s="2">
        <v>3</v>
      </c>
      <c r="B269" s="1" t="s">
        <v>104</v>
      </c>
      <c r="C269" s="4">
        <v>1129</v>
      </c>
      <c r="D269" s="8">
        <v>6.63</v>
      </c>
      <c r="E269" s="4">
        <v>792</v>
      </c>
      <c r="F269" s="8">
        <v>13.45</v>
      </c>
      <c r="G269" s="4">
        <v>337</v>
      </c>
      <c r="H269" s="8">
        <v>3.03</v>
      </c>
      <c r="I269" s="4">
        <v>0</v>
      </c>
    </row>
    <row r="270" spans="1:9" x14ac:dyDescent="0.2">
      <c r="A270" s="2">
        <v>4</v>
      </c>
      <c r="B270" s="1" t="s">
        <v>98</v>
      </c>
      <c r="C270" s="4">
        <v>753</v>
      </c>
      <c r="D270" s="8">
        <v>4.42</v>
      </c>
      <c r="E270" s="4">
        <v>338</v>
      </c>
      <c r="F270" s="8">
        <v>5.74</v>
      </c>
      <c r="G270" s="4">
        <v>415</v>
      </c>
      <c r="H270" s="8">
        <v>3.73</v>
      </c>
      <c r="I270" s="4">
        <v>0</v>
      </c>
    </row>
    <row r="271" spans="1:9" x14ac:dyDescent="0.2">
      <c r="A271" s="2">
        <v>5</v>
      </c>
      <c r="B271" s="1" t="s">
        <v>119</v>
      </c>
      <c r="C271" s="4">
        <v>658</v>
      </c>
      <c r="D271" s="8">
        <v>3.86</v>
      </c>
      <c r="E271" s="4">
        <v>135</v>
      </c>
      <c r="F271" s="8">
        <v>2.29</v>
      </c>
      <c r="G271" s="4">
        <v>523</v>
      </c>
      <c r="H271" s="8">
        <v>4.7</v>
      </c>
      <c r="I271" s="4">
        <v>0</v>
      </c>
    </row>
    <row r="272" spans="1:9" x14ac:dyDescent="0.2">
      <c r="A272" s="2">
        <v>6</v>
      </c>
      <c r="B272" s="1" t="s">
        <v>96</v>
      </c>
      <c r="C272" s="4">
        <v>634</v>
      </c>
      <c r="D272" s="8">
        <v>3.72</v>
      </c>
      <c r="E272" s="4">
        <v>323</v>
      </c>
      <c r="F272" s="8">
        <v>5.49</v>
      </c>
      <c r="G272" s="4">
        <v>311</v>
      </c>
      <c r="H272" s="8">
        <v>2.79</v>
      </c>
      <c r="I272" s="4">
        <v>0</v>
      </c>
    </row>
    <row r="273" spans="1:9" x14ac:dyDescent="0.2">
      <c r="A273" s="2">
        <v>7</v>
      </c>
      <c r="B273" s="1" t="s">
        <v>106</v>
      </c>
      <c r="C273" s="4">
        <v>628</v>
      </c>
      <c r="D273" s="8">
        <v>3.69</v>
      </c>
      <c r="E273" s="4">
        <v>477</v>
      </c>
      <c r="F273" s="8">
        <v>8.1</v>
      </c>
      <c r="G273" s="4">
        <v>151</v>
      </c>
      <c r="H273" s="8">
        <v>1.36</v>
      </c>
      <c r="I273" s="4">
        <v>0</v>
      </c>
    </row>
    <row r="274" spans="1:9" x14ac:dyDescent="0.2">
      <c r="A274" s="2">
        <v>8</v>
      </c>
      <c r="B274" s="1" t="s">
        <v>89</v>
      </c>
      <c r="C274" s="4">
        <v>607</v>
      </c>
      <c r="D274" s="8">
        <v>3.56</v>
      </c>
      <c r="E274" s="4">
        <v>109</v>
      </c>
      <c r="F274" s="8">
        <v>1.85</v>
      </c>
      <c r="G274" s="4">
        <v>498</v>
      </c>
      <c r="H274" s="8">
        <v>4.47</v>
      </c>
      <c r="I274" s="4">
        <v>0</v>
      </c>
    </row>
    <row r="275" spans="1:9" x14ac:dyDescent="0.2">
      <c r="A275" s="2">
        <v>9</v>
      </c>
      <c r="B275" s="1" t="s">
        <v>101</v>
      </c>
      <c r="C275" s="4">
        <v>589</v>
      </c>
      <c r="D275" s="8">
        <v>3.46</v>
      </c>
      <c r="E275" s="4">
        <v>208</v>
      </c>
      <c r="F275" s="8">
        <v>3.53</v>
      </c>
      <c r="G275" s="4">
        <v>381</v>
      </c>
      <c r="H275" s="8">
        <v>3.42</v>
      </c>
      <c r="I275" s="4">
        <v>0</v>
      </c>
    </row>
    <row r="276" spans="1:9" x14ac:dyDescent="0.2">
      <c r="A276" s="2">
        <v>10</v>
      </c>
      <c r="B276" s="1" t="s">
        <v>90</v>
      </c>
      <c r="C276" s="4">
        <v>587</v>
      </c>
      <c r="D276" s="8">
        <v>3.45</v>
      </c>
      <c r="E276" s="4">
        <v>47</v>
      </c>
      <c r="F276" s="8">
        <v>0.8</v>
      </c>
      <c r="G276" s="4">
        <v>540</v>
      </c>
      <c r="H276" s="8">
        <v>4.8499999999999996</v>
      </c>
      <c r="I276" s="4">
        <v>0</v>
      </c>
    </row>
    <row r="277" spans="1:9" x14ac:dyDescent="0.2">
      <c r="A277" s="2">
        <v>11</v>
      </c>
      <c r="B277" s="1" t="s">
        <v>121</v>
      </c>
      <c r="C277" s="4">
        <v>557</v>
      </c>
      <c r="D277" s="8">
        <v>3.27</v>
      </c>
      <c r="E277" s="4">
        <v>94</v>
      </c>
      <c r="F277" s="8">
        <v>1.6</v>
      </c>
      <c r="G277" s="4">
        <v>463</v>
      </c>
      <c r="H277" s="8">
        <v>4.16</v>
      </c>
      <c r="I277" s="4">
        <v>0</v>
      </c>
    </row>
    <row r="278" spans="1:9" x14ac:dyDescent="0.2">
      <c r="A278" s="2">
        <v>12</v>
      </c>
      <c r="B278" s="1" t="s">
        <v>88</v>
      </c>
      <c r="C278" s="4">
        <v>539</v>
      </c>
      <c r="D278" s="8">
        <v>3.16</v>
      </c>
      <c r="E278" s="4">
        <v>68</v>
      </c>
      <c r="F278" s="8">
        <v>1.1599999999999999</v>
      </c>
      <c r="G278" s="4">
        <v>471</v>
      </c>
      <c r="H278" s="8">
        <v>4.2300000000000004</v>
      </c>
      <c r="I278" s="4">
        <v>0</v>
      </c>
    </row>
    <row r="279" spans="1:9" x14ac:dyDescent="0.2">
      <c r="A279" s="2">
        <v>13</v>
      </c>
      <c r="B279" s="1" t="s">
        <v>105</v>
      </c>
      <c r="C279" s="4">
        <v>367</v>
      </c>
      <c r="D279" s="8">
        <v>2.15</v>
      </c>
      <c r="E279" s="4">
        <v>202</v>
      </c>
      <c r="F279" s="8">
        <v>3.43</v>
      </c>
      <c r="G279" s="4">
        <v>164</v>
      </c>
      <c r="H279" s="8">
        <v>1.47</v>
      </c>
      <c r="I279" s="4">
        <v>1</v>
      </c>
    </row>
    <row r="280" spans="1:9" x14ac:dyDescent="0.2">
      <c r="A280" s="2">
        <v>14</v>
      </c>
      <c r="B280" s="1" t="s">
        <v>99</v>
      </c>
      <c r="C280" s="4">
        <v>333</v>
      </c>
      <c r="D280" s="8">
        <v>1.95</v>
      </c>
      <c r="E280" s="4">
        <v>22</v>
      </c>
      <c r="F280" s="8">
        <v>0.37</v>
      </c>
      <c r="G280" s="4">
        <v>311</v>
      </c>
      <c r="H280" s="8">
        <v>2.79</v>
      </c>
      <c r="I280" s="4">
        <v>0</v>
      </c>
    </row>
    <row r="281" spans="1:9" x14ac:dyDescent="0.2">
      <c r="A281" s="2">
        <v>15</v>
      </c>
      <c r="B281" s="1" t="s">
        <v>93</v>
      </c>
      <c r="C281" s="4">
        <v>317</v>
      </c>
      <c r="D281" s="8">
        <v>1.86</v>
      </c>
      <c r="E281" s="4">
        <v>14</v>
      </c>
      <c r="F281" s="8">
        <v>0.24</v>
      </c>
      <c r="G281" s="4">
        <v>303</v>
      </c>
      <c r="H281" s="8">
        <v>2.72</v>
      </c>
      <c r="I281" s="4">
        <v>0</v>
      </c>
    </row>
    <row r="282" spans="1:9" x14ac:dyDescent="0.2">
      <c r="A282" s="2">
        <v>16</v>
      </c>
      <c r="B282" s="1" t="s">
        <v>95</v>
      </c>
      <c r="C282" s="4">
        <v>309</v>
      </c>
      <c r="D282" s="8">
        <v>1.81</v>
      </c>
      <c r="E282" s="4">
        <v>113</v>
      </c>
      <c r="F282" s="8">
        <v>1.92</v>
      </c>
      <c r="G282" s="4">
        <v>196</v>
      </c>
      <c r="H282" s="8">
        <v>1.76</v>
      </c>
      <c r="I282" s="4">
        <v>0</v>
      </c>
    </row>
    <row r="283" spans="1:9" x14ac:dyDescent="0.2">
      <c r="A283" s="2">
        <v>17</v>
      </c>
      <c r="B283" s="1" t="s">
        <v>102</v>
      </c>
      <c r="C283" s="4">
        <v>297</v>
      </c>
      <c r="D283" s="8">
        <v>1.74</v>
      </c>
      <c r="E283" s="4">
        <v>79</v>
      </c>
      <c r="F283" s="8">
        <v>1.34</v>
      </c>
      <c r="G283" s="4">
        <v>218</v>
      </c>
      <c r="H283" s="8">
        <v>1.96</v>
      </c>
      <c r="I283" s="4">
        <v>0</v>
      </c>
    </row>
    <row r="284" spans="1:9" x14ac:dyDescent="0.2">
      <c r="A284" s="2">
        <v>18</v>
      </c>
      <c r="B284" s="1" t="s">
        <v>97</v>
      </c>
      <c r="C284" s="4">
        <v>286</v>
      </c>
      <c r="D284" s="8">
        <v>1.68</v>
      </c>
      <c r="E284" s="4">
        <v>88</v>
      </c>
      <c r="F284" s="8">
        <v>1.49</v>
      </c>
      <c r="G284" s="4">
        <v>198</v>
      </c>
      <c r="H284" s="8">
        <v>1.78</v>
      </c>
      <c r="I284" s="4">
        <v>0</v>
      </c>
    </row>
    <row r="285" spans="1:9" x14ac:dyDescent="0.2">
      <c r="A285" s="2">
        <v>19</v>
      </c>
      <c r="B285" s="1" t="s">
        <v>120</v>
      </c>
      <c r="C285" s="4">
        <v>273</v>
      </c>
      <c r="D285" s="8">
        <v>1.6</v>
      </c>
      <c r="E285" s="4">
        <v>80</v>
      </c>
      <c r="F285" s="8">
        <v>1.36</v>
      </c>
      <c r="G285" s="4">
        <v>193</v>
      </c>
      <c r="H285" s="8">
        <v>1.73</v>
      </c>
      <c r="I285" s="4">
        <v>0</v>
      </c>
    </row>
    <row r="286" spans="1:9" x14ac:dyDescent="0.2">
      <c r="A286" s="2">
        <v>20</v>
      </c>
      <c r="B286" s="1" t="s">
        <v>94</v>
      </c>
      <c r="C286" s="4">
        <v>264</v>
      </c>
      <c r="D286" s="8">
        <v>1.55</v>
      </c>
      <c r="E286" s="4">
        <v>20</v>
      </c>
      <c r="F286" s="8">
        <v>0.34</v>
      </c>
      <c r="G286" s="4">
        <v>244</v>
      </c>
      <c r="H286" s="8">
        <v>2.19</v>
      </c>
      <c r="I286" s="4">
        <v>0</v>
      </c>
    </row>
    <row r="287" spans="1:9" x14ac:dyDescent="0.2">
      <c r="A287" s="1"/>
      <c r="C287" s="4"/>
      <c r="D287" s="8"/>
      <c r="E287" s="4"/>
      <c r="F287" s="8"/>
      <c r="G287" s="4"/>
      <c r="H287" s="8"/>
      <c r="I287" s="4"/>
    </row>
    <row r="288" spans="1:9" x14ac:dyDescent="0.2">
      <c r="A288" s="1" t="s">
        <v>13</v>
      </c>
      <c r="C288" s="4"/>
      <c r="D288" s="8"/>
      <c r="E288" s="4"/>
      <c r="F288" s="8"/>
      <c r="G288" s="4"/>
      <c r="H288" s="8"/>
      <c r="I288" s="4"/>
    </row>
    <row r="289" spans="1:9" x14ac:dyDescent="0.2">
      <c r="A289" s="2">
        <v>1</v>
      </c>
      <c r="B289" s="1" t="s">
        <v>100</v>
      </c>
      <c r="C289" s="4">
        <v>2057</v>
      </c>
      <c r="D289" s="8">
        <v>12.72</v>
      </c>
      <c r="E289" s="4">
        <v>282</v>
      </c>
      <c r="F289" s="8">
        <v>5.17</v>
      </c>
      <c r="G289" s="4">
        <v>1770</v>
      </c>
      <c r="H289" s="8">
        <v>16.55</v>
      </c>
      <c r="I289" s="4">
        <v>4</v>
      </c>
    </row>
    <row r="290" spans="1:9" x14ac:dyDescent="0.2">
      <c r="A290" s="2">
        <v>2</v>
      </c>
      <c r="B290" s="1" t="s">
        <v>103</v>
      </c>
      <c r="C290" s="4">
        <v>1582</v>
      </c>
      <c r="D290" s="8">
        <v>9.7799999999999994</v>
      </c>
      <c r="E290" s="4">
        <v>1138</v>
      </c>
      <c r="F290" s="8">
        <v>20.85</v>
      </c>
      <c r="G290" s="4">
        <v>444</v>
      </c>
      <c r="H290" s="8">
        <v>4.1500000000000004</v>
      </c>
      <c r="I290" s="4">
        <v>0</v>
      </c>
    </row>
    <row r="291" spans="1:9" x14ac:dyDescent="0.2">
      <c r="A291" s="2">
        <v>3</v>
      </c>
      <c r="B291" s="1" t="s">
        <v>104</v>
      </c>
      <c r="C291" s="4">
        <v>1451</v>
      </c>
      <c r="D291" s="8">
        <v>8.9700000000000006</v>
      </c>
      <c r="E291" s="4">
        <v>994</v>
      </c>
      <c r="F291" s="8">
        <v>18.22</v>
      </c>
      <c r="G291" s="4">
        <v>457</v>
      </c>
      <c r="H291" s="8">
        <v>4.2699999999999996</v>
      </c>
      <c r="I291" s="4">
        <v>0</v>
      </c>
    </row>
    <row r="292" spans="1:9" x14ac:dyDescent="0.2">
      <c r="A292" s="2">
        <v>4</v>
      </c>
      <c r="B292" s="1" t="s">
        <v>101</v>
      </c>
      <c r="C292" s="4">
        <v>1099</v>
      </c>
      <c r="D292" s="8">
        <v>6.79</v>
      </c>
      <c r="E292" s="4">
        <v>316</v>
      </c>
      <c r="F292" s="8">
        <v>5.79</v>
      </c>
      <c r="G292" s="4">
        <v>782</v>
      </c>
      <c r="H292" s="8">
        <v>7.31</v>
      </c>
      <c r="I292" s="4">
        <v>1</v>
      </c>
    </row>
    <row r="293" spans="1:9" x14ac:dyDescent="0.2">
      <c r="A293" s="2">
        <v>5</v>
      </c>
      <c r="B293" s="1" t="s">
        <v>98</v>
      </c>
      <c r="C293" s="4">
        <v>967</v>
      </c>
      <c r="D293" s="8">
        <v>5.98</v>
      </c>
      <c r="E293" s="4">
        <v>366</v>
      </c>
      <c r="F293" s="8">
        <v>6.71</v>
      </c>
      <c r="G293" s="4">
        <v>601</v>
      </c>
      <c r="H293" s="8">
        <v>5.62</v>
      </c>
      <c r="I293" s="4">
        <v>0</v>
      </c>
    </row>
    <row r="294" spans="1:9" x14ac:dyDescent="0.2">
      <c r="A294" s="2">
        <v>6</v>
      </c>
      <c r="B294" s="1" t="s">
        <v>106</v>
      </c>
      <c r="C294" s="4">
        <v>838</v>
      </c>
      <c r="D294" s="8">
        <v>5.18</v>
      </c>
      <c r="E294" s="4">
        <v>664</v>
      </c>
      <c r="F294" s="8">
        <v>12.17</v>
      </c>
      <c r="G294" s="4">
        <v>174</v>
      </c>
      <c r="H294" s="8">
        <v>1.63</v>
      </c>
      <c r="I294" s="4">
        <v>0</v>
      </c>
    </row>
    <row r="295" spans="1:9" x14ac:dyDescent="0.2">
      <c r="A295" s="2">
        <v>7</v>
      </c>
      <c r="B295" s="1" t="s">
        <v>105</v>
      </c>
      <c r="C295" s="4">
        <v>667</v>
      </c>
      <c r="D295" s="8">
        <v>4.12</v>
      </c>
      <c r="E295" s="4">
        <v>360</v>
      </c>
      <c r="F295" s="8">
        <v>6.6</v>
      </c>
      <c r="G295" s="4">
        <v>303</v>
      </c>
      <c r="H295" s="8">
        <v>2.83</v>
      </c>
      <c r="I295" s="4">
        <v>2</v>
      </c>
    </row>
    <row r="296" spans="1:9" x14ac:dyDescent="0.2">
      <c r="A296" s="2">
        <v>8</v>
      </c>
      <c r="B296" s="1" t="s">
        <v>96</v>
      </c>
      <c r="C296" s="4">
        <v>614</v>
      </c>
      <c r="D296" s="8">
        <v>3.8</v>
      </c>
      <c r="E296" s="4">
        <v>322</v>
      </c>
      <c r="F296" s="8">
        <v>5.9</v>
      </c>
      <c r="G296" s="4">
        <v>292</v>
      </c>
      <c r="H296" s="8">
        <v>2.73</v>
      </c>
      <c r="I296" s="4">
        <v>0</v>
      </c>
    </row>
    <row r="297" spans="1:9" x14ac:dyDescent="0.2">
      <c r="A297" s="2">
        <v>9</v>
      </c>
      <c r="B297" s="1" t="s">
        <v>88</v>
      </c>
      <c r="C297" s="4">
        <v>586</v>
      </c>
      <c r="D297" s="8">
        <v>3.62</v>
      </c>
      <c r="E297" s="4">
        <v>44</v>
      </c>
      <c r="F297" s="8">
        <v>0.81</v>
      </c>
      <c r="G297" s="4">
        <v>542</v>
      </c>
      <c r="H297" s="8">
        <v>5.07</v>
      </c>
      <c r="I297" s="4">
        <v>0</v>
      </c>
    </row>
    <row r="298" spans="1:9" x14ac:dyDescent="0.2">
      <c r="A298" s="2">
        <v>10</v>
      </c>
      <c r="B298" s="1" t="s">
        <v>95</v>
      </c>
      <c r="C298" s="4">
        <v>506</v>
      </c>
      <c r="D298" s="8">
        <v>3.13</v>
      </c>
      <c r="E298" s="4">
        <v>181</v>
      </c>
      <c r="F298" s="8">
        <v>3.32</v>
      </c>
      <c r="G298" s="4">
        <v>325</v>
      </c>
      <c r="H298" s="8">
        <v>3.04</v>
      </c>
      <c r="I298" s="4">
        <v>0</v>
      </c>
    </row>
    <row r="299" spans="1:9" x14ac:dyDescent="0.2">
      <c r="A299" s="2">
        <v>11</v>
      </c>
      <c r="B299" s="1" t="s">
        <v>89</v>
      </c>
      <c r="C299" s="4">
        <v>498</v>
      </c>
      <c r="D299" s="8">
        <v>3.08</v>
      </c>
      <c r="E299" s="4">
        <v>86</v>
      </c>
      <c r="F299" s="8">
        <v>1.58</v>
      </c>
      <c r="G299" s="4">
        <v>412</v>
      </c>
      <c r="H299" s="8">
        <v>3.85</v>
      </c>
      <c r="I299" s="4">
        <v>0</v>
      </c>
    </row>
    <row r="300" spans="1:9" x14ac:dyDescent="0.2">
      <c r="A300" s="2">
        <v>12</v>
      </c>
      <c r="B300" s="1" t="s">
        <v>102</v>
      </c>
      <c r="C300" s="4">
        <v>482</v>
      </c>
      <c r="D300" s="8">
        <v>2.98</v>
      </c>
      <c r="E300" s="4">
        <v>117</v>
      </c>
      <c r="F300" s="8">
        <v>2.14</v>
      </c>
      <c r="G300" s="4">
        <v>365</v>
      </c>
      <c r="H300" s="8">
        <v>3.41</v>
      </c>
      <c r="I300" s="4">
        <v>0</v>
      </c>
    </row>
    <row r="301" spans="1:9" x14ac:dyDescent="0.2">
      <c r="A301" s="2">
        <v>13</v>
      </c>
      <c r="B301" s="1" t="s">
        <v>99</v>
      </c>
      <c r="C301" s="4">
        <v>436</v>
      </c>
      <c r="D301" s="8">
        <v>2.7</v>
      </c>
      <c r="E301" s="4">
        <v>33</v>
      </c>
      <c r="F301" s="8">
        <v>0.6</v>
      </c>
      <c r="G301" s="4">
        <v>403</v>
      </c>
      <c r="H301" s="8">
        <v>3.77</v>
      </c>
      <c r="I301" s="4">
        <v>0</v>
      </c>
    </row>
    <row r="302" spans="1:9" x14ac:dyDescent="0.2">
      <c r="A302" s="2">
        <v>14</v>
      </c>
      <c r="B302" s="1" t="s">
        <v>97</v>
      </c>
      <c r="C302" s="4">
        <v>342</v>
      </c>
      <c r="D302" s="8">
        <v>2.11</v>
      </c>
      <c r="E302" s="4">
        <v>98</v>
      </c>
      <c r="F302" s="8">
        <v>1.8</v>
      </c>
      <c r="G302" s="4">
        <v>244</v>
      </c>
      <c r="H302" s="8">
        <v>2.2799999999999998</v>
      </c>
      <c r="I302" s="4">
        <v>0</v>
      </c>
    </row>
    <row r="303" spans="1:9" x14ac:dyDescent="0.2">
      <c r="A303" s="2">
        <v>15</v>
      </c>
      <c r="B303" s="1" t="s">
        <v>107</v>
      </c>
      <c r="C303" s="4">
        <v>340</v>
      </c>
      <c r="D303" s="8">
        <v>2.1</v>
      </c>
      <c r="E303" s="4">
        <v>15</v>
      </c>
      <c r="F303" s="8">
        <v>0.27</v>
      </c>
      <c r="G303" s="4">
        <v>322</v>
      </c>
      <c r="H303" s="8">
        <v>3.01</v>
      </c>
      <c r="I303" s="4">
        <v>3</v>
      </c>
    </row>
    <row r="304" spans="1:9" x14ac:dyDescent="0.2">
      <c r="A304" s="2">
        <v>16</v>
      </c>
      <c r="B304" s="1" t="s">
        <v>90</v>
      </c>
      <c r="C304" s="4">
        <v>337</v>
      </c>
      <c r="D304" s="8">
        <v>2.08</v>
      </c>
      <c r="E304" s="4">
        <v>26</v>
      </c>
      <c r="F304" s="8">
        <v>0.48</v>
      </c>
      <c r="G304" s="4">
        <v>311</v>
      </c>
      <c r="H304" s="8">
        <v>2.91</v>
      </c>
      <c r="I304" s="4">
        <v>0</v>
      </c>
    </row>
    <row r="305" spans="1:9" x14ac:dyDescent="0.2">
      <c r="A305" s="2">
        <v>17</v>
      </c>
      <c r="B305" s="1" t="s">
        <v>92</v>
      </c>
      <c r="C305" s="4">
        <v>295</v>
      </c>
      <c r="D305" s="8">
        <v>1.82</v>
      </c>
      <c r="E305" s="4">
        <v>14</v>
      </c>
      <c r="F305" s="8">
        <v>0.26</v>
      </c>
      <c r="G305" s="4">
        <v>281</v>
      </c>
      <c r="H305" s="8">
        <v>2.63</v>
      </c>
      <c r="I305" s="4">
        <v>0</v>
      </c>
    </row>
    <row r="306" spans="1:9" x14ac:dyDescent="0.2">
      <c r="A306" s="2">
        <v>18</v>
      </c>
      <c r="B306" s="1" t="s">
        <v>94</v>
      </c>
      <c r="C306" s="4">
        <v>250</v>
      </c>
      <c r="D306" s="8">
        <v>1.55</v>
      </c>
      <c r="E306" s="4">
        <v>27</v>
      </c>
      <c r="F306" s="8">
        <v>0.49</v>
      </c>
      <c r="G306" s="4">
        <v>223</v>
      </c>
      <c r="H306" s="8">
        <v>2.08</v>
      </c>
      <c r="I306" s="4">
        <v>0</v>
      </c>
    </row>
    <row r="307" spans="1:9" x14ac:dyDescent="0.2">
      <c r="A307" s="2">
        <v>19</v>
      </c>
      <c r="B307" s="1" t="s">
        <v>114</v>
      </c>
      <c r="C307" s="4">
        <v>226</v>
      </c>
      <c r="D307" s="8">
        <v>1.4</v>
      </c>
      <c r="E307" s="4">
        <v>26</v>
      </c>
      <c r="F307" s="8">
        <v>0.48</v>
      </c>
      <c r="G307" s="4">
        <v>200</v>
      </c>
      <c r="H307" s="8">
        <v>1.87</v>
      </c>
      <c r="I307" s="4">
        <v>0</v>
      </c>
    </row>
    <row r="308" spans="1:9" x14ac:dyDescent="0.2">
      <c r="A308" s="2">
        <v>20</v>
      </c>
      <c r="B308" s="1" t="s">
        <v>91</v>
      </c>
      <c r="C308" s="4">
        <v>217</v>
      </c>
      <c r="D308" s="8">
        <v>1.34</v>
      </c>
      <c r="E308" s="4">
        <v>2</v>
      </c>
      <c r="F308" s="8">
        <v>0.04</v>
      </c>
      <c r="G308" s="4">
        <v>215</v>
      </c>
      <c r="H308" s="8">
        <v>2.0099999999999998</v>
      </c>
      <c r="I308" s="4">
        <v>0</v>
      </c>
    </row>
    <row r="309" spans="1:9" x14ac:dyDescent="0.2">
      <c r="A309" s="1"/>
      <c r="C309" s="4"/>
      <c r="D309" s="8"/>
      <c r="E309" s="4"/>
      <c r="F309" s="8"/>
      <c r="G309" s="4"/>
      <c r="H309" s="8"/>
      <c r="I309" s="4"/>
    </row>
    <row r="310" spans="1:9" x14ac:dyDescent="0.2">
      <c r="A310" s="1" t="s">
        <v>14</v>
      </c>
      <c r="C310" s="4"/>
      <c r="D310" s="8"/>
      <c r="E310" s="4"/>
      <c r="F310" s="8"/>
      <c r="G310" s="4"/>
      <c r="H310" s="8"/>
      <c r="I310" s="4"/>
    </row>
    <row r="311" spans="1:9" x14ac:dyDescent="0.2">
      <c r="A311" s="2">
        <v>1</v>
      </c>
      <c r="B311" s="1" t="s">
        <v>101</v>
      </c>
      <c r="C311" s="4">
        <v>1754</v>
      </c>
      <c r="D311" s="8">
        <v>11.17</v>
      </c>
      <c r="E311" s="4">
        <v>586</v>
      </c>
      <c r="F311" s="8">
        <v>17.18</v>
      </c>
      <c r="G311" s="4">
        <v>1167</v>
      </c>
      <c r="H311" s="8">
        <v>9.51</v>
      </c>
      <c r="I311" s="4">
        <v>1</v>
      </c>
    </row>
    <row r="312" spans="1:9" x14ac:dyDescent="0.2">
      <c r="A312" s="2">
        <v>2</v>
      </c>
      <c r="B312" s="1" t="s">
        <v>100</v>
      </c>
      <c r="C312" s="4">
        <v>1693</v>
      </c>
      <c r="D312" s="8">
        <v>10.78</v>
      </c>
      <c r="E312" s="4">
        <v>172</v>
      </c>
      <c r="F312" s="8">
        <v>5.04</v>
      </c>
      <c r="G312" s="4">
        <v>1515</v>
      </c>
      <c r="H312" s="8">
        <v>12.34</v>
      </c>
      <c r="I312" s="4">
        <v>6</v>
      </c>
    </row>
    <row r="313" spans="1:9" x14ac:dyDescent="0.2">
      <c r="A313" s="2">
        <v>3</v>
      </c>
      <c r="B313" s="1" t="s">
        <v>103</v>
      </c>
      <c r="C313" s="4">
        <v>1494</v>
      </c>
      <c r="D313" s="8">
        <v>9.51</v>
      </c>
      <c r="E313" s="4">
        <v>779</v>
      </c>
      <c r="F313" s="8">
        <v>22.84</v>
      </c>
      <c r="G313" s="4">
        <v>715</v>
      </c>
      <c r="H313" s="8">
        <v>5.82</v>
      </c>
      <c r="I313" s="4">
        <v>0</v>
      </c>
    </row>
    <row r="314" spans="1:9" x14ac:dyDescent="0.2">
      <c r="A314" s="2">
        <v>4</v>
      </c>
      <c r="B314" s="1" t="s">
        <v>104</v>
      </c>
      <c r="C314" s="4">
        <v>1086</v>
      </c>
      <c r="D314" s="8">
        <v>6.91</v>
      </c>
      <c r="E314" s="4">
        <v>602</v>
      </c>
      <c r="F314" s="8">
        <v>17.649999999999999</v>
      </c>
      <c r="G314" s="4">
        <v>484</v>
      </c>
      <c r="H314" s="8">
        <v>3.94</v>
      </c>
      <c r="I314" s="4">
        <v>0</v>
      </c>
    </row>
    <row r="315" spans="1:9" x14ac:dyDescent="0.2">
      <c r="A315" s="2">
        <v>5</v>
      </c>
      <c r="B315" s="1" t="s">
        <v>95</v>
      </c>
      <c r="C315" s="4">
        <v>869</v>
      </c>
      <c r="D315" s="8">
        <v>5.53</v>
      </c>
      <c r="E315" s="4">
        <v>82</v>
      </c>
      <c r="F315" s="8">
        <v>2.4</v>
      </c>
      <c r="G315" s="4">
        <v>787</v>
      </c>
      <c r="H315" s="8">
        <v>6.41</v>
      </c>
      <c r="I315" s="4">
        <v>0</v>
      </c>
    </row>
    <row r="316" spans="1:9" x14ac:dyDescent="0.2">
      <c r="A316" s="2">
        <v>6</v>
      </c>
      <c r="B316" s="1" t="s">
        <v>98</v>
      </c>
      <c r="C316" s="4">
        <v>858</v>
      </c>
      <c r="D316" s="8">
        <v>5.46</v>
      </c>
      <c r="E316" s="4">
        <v>185</v>
      </c>
      <c r="F316" s="8">
        <v>5.42</v>
      </c>
      <c r="G316" s="4">
        <v>672</v>
      </c>
      <c r="H316" s="8">
        <v>5.47</v>
      </c>
      <c r="I316" s="4">
        <v>1</v>
      </c>
    </row>
    <row r="317" spans="1:9" x14ac:dyDescent="0.2">
      <c r="A317" s="2">
        <v>7</v>
      </c>
      <c r="B317" s="1" t="s">
        <v>99</v>
      </c>
      <c r="C317" s="4">
        <v>595</v>
      </c>
      <c r="D317" s="8">
        <v>3.79</v>
      </c>
      <c r="E317" s="4">
        <v>18</v>
      </c>
      <c r="F317" s="8">
        <v>0.53</v>
      </c>
      <c r="G317" s="4">
        <v>577</v>
      </c>
      <c r="H317" s="8">
        <v>4.7</v>
      </c>
      <c r="I317" s="4">
        <v>0</v>
      </c>
    </row>
    <row r="318" spans="1:9" x14ac:dyDescent="0.2">
      <c r="A318" s="2">
        <v>8</v>
      </c>
      <c r="B318" s="1" t="s">
        <v>102</v>
      </c>
      <c r="C318" s="4">
        <v>526</v>
      </c>
      <c r="D318" s="8">
        <v>3.35</v>
      </c>
      <c r="E318" s="4">
        <v>94</v>
      </c>
      <c r="F318" s="8">
        <v>2.76</v>
      </c>
      <c r="G318" s="4">
        <v>432</v>
      </c>
      <c r="H318" s="8">
        <v>3.52</v>
      </c>
      <c r="I318" s="4">
        <v>0</v>
      </c>
    </row>
    <row r="319" spans="1:9" x14ac:dyDescent="0.2">
      <c r="A319" s="2">
        <v>9</v>
      </c>
      <c r="B319" s="1" t="s">
        <v>92</v>
      </c>
      <c r="C319" s="4">
        <v>522</v>
      </c>
      <c r="D319" s="8">
        <v>3.32</v>
      </c>
      <c r="E319" s="4">
        <v>12</v>
      </c>
      <c r="F319" s="8">
        <v>0.35</v>
      </c>
      <c r="G319" s="4">
        <v>510</v>
      </c>
      <c r="H319" s="8">
        <v>4.1500000000000004</v>
      </c>
      <c r="I319" s="4">
        <v>0</v>
      </c>
    </row>
    <row r="320" spans="1:9" x14ac:dyDescent="0.2">
      <c r="A320" s="2">
        <v>10</v>
      </c>
      <c r="B320" s="1" t="s">
        <v>107</v>
      </c>
      <c r="C320" s="4">
        <v>505</v>
      </c>
      <c r="D320" s="8">
        <v>3.21</v>
      </c>
      <c r="E320" s="4">
        <v>17</v>
      </c>
      <c r="F320" s="8">
        <v>0.5</v>
      </c>
      <c r="G320" s="4">
        <v>485</v>
      </c>
      <c r="H320" s="8">
        <v>3.95</v>
      </c>
      <c r="I320" s="4">
        <v>3</v>
      </c>
    </row>
    <row r="321" spans="1:9" x14ac:dyDescent="0.2">
      <c r="A321" s="2">
        <v>11</v>
      </c>
      <c r="B321" s="1" t="s">
        <v>106</v>
      </c>
      <c r="C321" s="4">
        <v>491</v>
      </c>
      <c r="D321" s="8">
        <v>3.13</v>
      </c>
      <c r="E321" s="4">
        <v>359</v>
      </c>
      <c r="F321" s="8">
        <v>10.52</v>
      </c>
      <c r="G321" s="4">
        <v>132</v>
      </c>
      <c r="H321" s="8">
        <v>1.08</v>
      </c>
      <c r="I321" s="4">
        <v>0</v>
      </c>
    </row>
    <row r="322" spans="1:9" x14ac:dyDescent="0.2">
      <c r="A322" s="2">
        <v>12</v>
      </c>
      <c r="B322" s="1" t="s">
        <v>105</v>
      </c>
      <c r="C322" s="4">
        <v>464</v>
      </c>
      <c r="D322" s="8">
        <v>2.95</v>
      </c>
      <c r="E322" s="4">
        <v>156</v>
      </c>
      <c r="F322" s="8">
        <v>4.57</v>
      </c>
      <c r="G322" s="4">
        <v>307</v>
      </c>
      <c r="H322" s="8">
        <v>2.5</v>
      </c>
      <c r="I322" s="4">
        <v>1</v>
      </c>
    </row>
    <row r="323" spans="1:9" x14ac:dyDescent="0.2">
      <c r="A323" s="2">
        <v>13</v>
      </c>
      <c r="B323" s="1" t="s">
        <v>91</v>
      </c>
      <c r="C323" s="4">
        <v>391</v>
      </c>
      <c r="D323" s="8">
        <v>2.4900000000000002</v>
      </c>
      <c r="E323" s="4">
        <v>6</v>
      </c>
      <c r="F323" s="8">
        <v>0.18</v>
      </c>
      <c r="G323" s="4">
        <v>385</v>
      </c>
      <c r="H323" s="8">
        <v>3.14</v>
      </c>
      <c r="I323" s="4">
        <v>0</v>
      </c>
    </row>
    <row r="324" spans="1:9" x14ac:dyDescent="0.2">
      <c r="A324" s="2">
        <v>14</v>
      </c>
      <c r="B324" s="1" t="s">
        <v>112</v>
      </c>
      <c r="C324" s="4">
        <v>386</v>
      </c>
      <c r="D324" s="8">
        <v>2.46</v>
      </c>
      <c r="E324" s="4">
        <v>7</v>
      </c>
      <c r="F324" s="8">
        <v>0.21</v>
      </c>
      <c r="G324" s="4">
        <v>379</v>
      </c>
      <c r="H324" s="8">
        <v>3.09</v>
      </c>
      <c r="I324" s="4">
        <v>0</v>
      </c>
    </row>
    <row r="325" spans="1:9" x14ac:dyDescent="0.2">
      <c r="A325" s="2">
        <v>15</v>
      </c>
      <c r="B325" s="1" t="s">
        <v>114</v>
      </c>
      <c r="C325" s="4">
        <v>322</v>
      </c>
      <c r="D325" s="8">
        <v>2.0499999999999998</v>
      </c>
      <c r="E325" s="4">
        <v>35</v>
      </c>
      <c r="F325" s="8">
        <v>1.03</v>
      </c>
      <c r="G325" s="4">
        <v>287</v>
      </c>
      <c r="H325" s="8">
        <v>2.34</v>
      </c>
      <c r="I325" s="4">
        <v>0</v>
      </c>
    </row>
    <row r="326" spans="1:9" x14ac:dyDescent="0.2">
      <c r="A326" s="2">
        <v>16</v>
      </c>
      <c r="B326" s="1" t="s">
        <v>96</v>
      </c>
      <c r="C326" s="4">
        <v>319</v>
      </c>
      <c r="D326" s="8">
        <v>2.0299999999999998</v>
      </c>
      <c r="E326" s="4">
        <v>99</v>
      </c>
      <c r="F326" s="8">
        <v>2.9</v>
      </c>
      <c r="G326" s="4">
        <v>220</v>
      </c>
      <c r="H326" s="8">
        <v>1.79</v>
      </c>
      <c r="I326" s="4">
        <v>0</v>
      </c>
    </row>
    <row r="327" spans="1:9" x14ac:dyDescent="0.2">
      <c r="A327" s="2">
        <v>17</v>
      </c>
      <c r="B327" s="1" t="s">
        <v>94</v>
      </c>
      <c r="C327" s="4">
        <v>292</v>
      </c>
      <c r="D327" s="8">
        <v>1.86</v>
      </c>
      <c r="E327" s="4">
        <v>5</v>
      </c>
      <c r="F327" s="8">
        <v>0.15</v>
      </c>
      <c r="G327" s="4">
        <v>287</v>
      </c>
      <c r="H327" s="8">
        <v>2.34</v>
      </c>
      <c r="I327" s="4">
        <v>0</v>
      </c>
    </row>
    <row r="328" spans="1:9" x14ac:dyDescent="0.2">
      <c r="A328" s="2">
        <v>18</v>
      </c>
      <c r="B328" s="1" t="s">
        <v>122</v>
      </c>
      <c r="C328" s="4">
        <v>285</v>
      </c>
      <c r="D328" s="8">
        <v>1.81</v>
      </c>
      <c r="E328" s="4">
        <v>4</v>
      </c>
      <c r="F328" s="8">
        <v>0.12</v>
      </c>
      <c r="G328" s="4">
        <v>281</v>
      </c>
      <c r="H328" s="8">
        <v>2.29</v>
      </c>
      <c r="I328" s="4">
        <v>0</v>
      </c>
    </row>
    <row r="329" spans="1:9" x14ac:dyDescent="0.2">
      <c r="A329" s="2">
        <v>19</v>
      </c>
      <c r="B329" s="1" t="s">
        <v>88</v>
      </c>
      <c r="C329" s="4">
        <v>219</v>
      </c>
      <c r="D329" s="8">
        <v>1.39</v>
      </c>
      <c r="E329" s="4">
        <v>8</v>
      </c>
      <c r="F329" s="8">
        <v>0.23</v>
      </c>
      <c r="G329" s="4">
        <v>211</v>
      </c>
      <c r="H329" s="8">
        <v>1.72</v>
      </c>
      <c r="I329" s="4">
        <v>0</v>
      </c>
    </row>
    <row r="330" spans="1:9" x14ac:dyDescent="0.2">
      <c r="A330" s="2">
        <v>20</v>
      </c>
      <c r="B330" s="1" t="s">
        <v>113</v>
      </c>
      <c r="C330" s="4">
        <v>217</v>
      </c>
      <c r="D330" s="8">
        <v>1.38</v>
      </c>
      <c r="E330" s="4">
        <v>1</v>
      </c>
      <c r="F330" s="8">
        <v>0.03</v>
      </c>
      <c r="G330" s="4">
        <v>216</v>
      </c>
      <c r="H330" s="8">
        <v>1.76</v>
      </c>
      <c r="I330" s="4">
        <v>0</v>
      </c>
    </row>
    <row r="331" spans="1:9" x14ac:dyDescent="0.2">
      <c r="A331" s="1"/>
      <c r="C331" s="4"/>
      <c r="D331" s="8"/>
      <c r="E331" s="4"/>
      <c r="F331" s="8"/>
      <c r="G331" s="4"/>
      <c r="H331" s="8"/>
      <c r="I331" s="4"/>
    </row>
    <row r="332" spans="1:9" x14ac:dyDescent="0.2">
      <c r="A332" s="1" t="s">
        <v>15</v>
      </c>
      <c r="C332" s="4"/>
      <c r="D332" s="8"/>
      <c r="E332" s="4"/>
      <c r="F332" s="8"/>
      <c r="G332" s="4"/>
      <c r="H332" s="8"/>
      <c r="I332" s="4"/>
    </row>
    <row r="333" spans="1:9" x14ac:dyDescent="0.2">
      <c r="A333" s="2">
        <v>1</v>
      </c>
      <c r="B333" s="1" t="s">
        <v>100</v>
      </c>
      <c r="C333" s="4">
        <v>1404</v>
      </c>
      <c r="D333" s="8">
        <v>18.850000000000001</v>
      </c>
      <c r="E333" s="4">
        <v>553</v>
      </c>
      <c r="F333" s="8">
        <v>18.510000000000002</v>
      </c>
      <c r="G333" s="4">
        <v>851</v>
      </c>
      <c r="H333" s="8">
        <v>19.18</v>
      </c>
      <c r="I333" s="4">
        <v>0</v>
      </c>
    </row>
    <row r="334" spans="1:9" x14ac:dyDescent="0.2">
      <c r="A334" s="2">
        <v>2</v>
      </c>
      <c r="B334" s="1" t="s">
        <v>103</v>
      </c>
      <c r="C334" s="4">
        <v>855</v>
      </c>
      <c r="D334" s="8">
        <v>11.48</v>
      </c>
      <c r="E334" s="4">
        <v>653</v>
      </c>
      <c r="F334" s="8">
        <v>21.85</v>
      </c>
      <c r="G334" s="4">
        <v>202</v>
      </c>
      <c r="H334" s="8">
        <v>4.55</v>
      </c>
      <c r="I334" s="4">
        <v>0</v>
      </c>
    </row>
    <row r="335" spans="1:9" x14ac:dyDescent="0.2">
      <c r="A335" s="2">
        <v>3</v>
      </c>
      <c r="B335" s="1" t="s">
        <v>104</v>
      </c>
      <c r="C335" s="4">
        <v>613</v>
      </c>
      <c r="D335" s="8">
        <v>8.23</v>
      </c>
      <c r="E335" s="4">
        <v>438</v>
      </c>
      <c r="F335" s="8">
        <v>14.66</v>
      </c>
      <c r="G335" s="4">
        <v>175</v>
      </c>
      <c r="H335" s="8">
        <v>3.94</v>
      </c>
      <c r="I335" s="4">
        <v>0</v>
      </c>
    </row>
    <row r="336" spans="1:9" x14ac:dyDescent="0.2">
      <c r="A336" s="2">
        <v>4</v>
      </c>
      <c r="B336" s="1" t="s">
        <v>101</v>
      </c>
      <c r="C336" s="4">
        <v>439</v>
      </c>
      <c r="D336" s="8">
        <v>5.89</v>
      </c>
      <c r="E336" s="4">
        <v>181</v>
      </c>
      <c r="F336" s="8">
        <v>6.06</v>
      </c>
      <c r="G336" s="4">
        <v>258</v>
      </c>
      <c r="H336" s="8">
        <v>5.81</v>
      </c>
      <c r="I336" s="4">
        <v>0</v>
      </c>
    </row>
    <row r="337" spans="1:9" x14ac:dyDescent="0.2">
      <c r="A337" s="2">
        <v>5</v>
      </c>
      <c r="B337" s="1" t="s">
        <v>98</v>
      </c>
      <c r="C337" s="4">
        <v>417</v>
      </c>
      <c r="D337" s="8">
        <v>5.6</v>
      </c>
      <c r="E337" s="4">
        <v>191</v>
      </c>
      <c r="F337" s="8">
        <v>6.39</v>
      </c>
      <c r="G337" s="4">
        <v>226</v>
      </c>
      <c r="H337" s="8">
        <v>5.09</v>
      </c>
      <c r="I337" s="4">
        <v>0</v>
      </c>
    </row>
    <row r="338" spans="1:9" x14ac:dyDescent="0.2">
      <c r="A338" s="2">
        <v>6</v>
      </c>
      <c r="B338" s="1" t="s">
        <v>106</v>
      </c>
      <c r="C338" s="4">
        <v>320</v>
      </c>
      <c r="D338" s="8">
        <v>4.3</v>
      </c>
      <c r="E338" s="4">
        <v>256</v>
      </c>
      <c r="F338" s="8">
        <v>8.57</v>
      </c>
      <c r="G338" s="4">
        <v>64</v>
      </c>
      <c r="H338" s="8">
        <v>1.44</v>
      </c>
      <c r="I338" s="4">
        <v>0</v>
      </c>
    </row>
    <row r="339" spans="1:9" x14ac:dyDescent="0.2">
      <c r="A339" s="2">
        <v>7</v>
      </c>
      <c r="B339" s="1" t="s">
        <v>96</v>
      </c>
      <c r="C339" s="4">
        <v>264</v>
      </c>
      <c r="D339" s="8">
        <v>3.55</v>
      </c>
      <c r="E339" s="4">
        <v>137</v>
      </c>
      <c r="F339" s="8">
        <v>4.59</v>
      </c>
      <c r="G339" s="4">
        <v>127</v>
      </c>
      <c r="H339" s="8">
        <v>2.86</v>
      </c>
      <c r="I339" s="4">
        <v>0</v>
      </c>
    </row>
    <row r="340" spans="1:9" x14ac:dyDescent="0.2">
      <c r="A340" s="2">
        <v>8</v>
      </c>
      <c r="B340" s="1" t="s">
        <v>89</v>
      </c>
      <c r="C340" s="4">
        <v>249</v>
      </c>
      <c r="D340" s="8">
        <v>3.34</v>
      </c>
      <c r="E340" s="4">
        <v>44</v>
      </c>
      <c r="F340" s="8">
        <v>1.47</v>
      </c>
      <c r="G340" s="4">
        <v>205</v>
      </c>
      <c r="H340" s="8">
        <v>4.62</v>
      </c>
      <c r="I340" s="4">
        <v>0</v>
      </c>
    </row>
    <row r="341" spans="1:9" x14ac:dyDescent="0.2">
      <c r="A341" s="2">
        <v>9</v>
      </c>
      <c r="B341" s="1" t="s">
        <v>88</v>
      </c>
      <c r="C341" s="4">
        <v>231</v>
      </c>
      <c r="D341" s="8">
        <v>3.1</v>
      </c>
      <c r="E341" s="4">
        <v>31</v>
      </c>
      <c r="F341" s="8">
        <v>1.04</v>
      </c>
      <c r="G341" s="4">
        <v>200</v>
      </c>
      <c r="H341" s="8">
        <v>4.51</v>
      </c>
      <c r="I341" s="4">
        <v>0</v>
      </c>
    </row>
    <row r="342" spans="1:9" x14ac:dyDescent="0.2">
      <c r="A342" s="2">
        <v>10</v>
      </c>
      <c r="B342" s="1" t="s">
        <v>105</v>
      </c>
      <c r="C342" s="4">
        <v>208</v>
      </c>
      <c r="D342" s="8">
        <v>2.79</v>
      </c>
      <c r="E342" s="4">
        <v>114</v>
      </c>
      <c r="F342" s="8">
        <v>3.82</v>
      </c>
      <c r="G342" s="4">
        <v>93</v>
      </c>
      <c r="H342" s="8">
        <v>2.1</v>
      </c>
      <c r="I342" s="4">
        <v>1</v>
      </c>
    </row>
    <row r="343" spans="1:9" x14ac:dyDescent="0.2">
      <c r="A343" s="2">
        <v>11</v>
      </c>
      <c r="B343" s="1" t="s">
        <v>102</v>
      </c>
      <c r="C343" s="4">
        <v>204</v>
      </c>
      <c r="D343" s="8">
        <v>2.74</v>
      </c>
      <c r="E343" s="4">
        <v>47</v>
      </c>
      <c r="F343" s="8">
        <v>1.57</v>
      </c>
      <c r="G343" s="4">
        <v>155</v>
      </c>
      <c r="H343" s="8">
        <v>3.49</v>
      </c>
      <c r="I343" s="4">
        <v>0</v>
      </c>
    </row>
    <row r="344" spans="1:9" x14ac:dyDescent="0.2">
      <c r="A344" s="2">
        <v>12</v>
      </c>
      <c r="B344" s="1" t="s">
        <v>99</v>
      </c>
      <c r="C344" s="4">
        <v>183</v>
      </c>
      <c r="D344" s="8">
        <v>2.46</v>
      </c>
      <c r="E344" s="4">
        <v>8</v>
      </c>
      <c r="F344" s="8">
        <v>0.27</v>
      </c>
      <c r="G344" s="4">
        <v>175</v>
      </c>
      <c r="H344" s="8">
        <v>3.94</v>
      </c>
      <c r="I344" s="4">
        <v>0</v>
      </c>
    </row>
    <row r="345" spans="1:9" x14ac:dyDescent="0.2">
      <c r="A345" s="2">
        <v>13</v>
      </c>
      <c r="B345" s="1" t="s">
        <v>90</v>
      </c>
      <c r="C345" s="4">
        <v>167</v>
      </c>
      <c r="D345" s="8">
        <v>2.2400000000000002</v>
      </c>
      <c r="E345" s="4">
        <v>18</v>
      </c>
      <c r="F345" s="8">
        <v>0.6</v>
      </c>
      <c r="G345" s="4">
        <v>149</v>
      </c>
      <c r="H345" s="8">
        <v>3.36</v>
      </c>
      <c r="I345" s="4">
        <v>0</v>
      </c>
    </row>
    <row r="346" spans="1:9" x14ac:dyDescent="0.2">
      <c r="A346" s="2">
        <v>14</v>
      </c>
      <c r="B346" s="1" t="s">
        <v>95</v>
      </c>
      <c r="C346" s="4">
        <v>148</v>
      </c>
      <c r="D346" s="8">
        <v>1.99</v>
      </c>
      <c r="E346" s="4">
        <v>69</v>
      </c>
      <c r="F346" s="8">
        <v>2.31</v>
      </c>
      <c r="G346" s="4">
        <v>79</v>
      </c>
      <c r="H346" s="8">
        <v>1.78</v>
      </c>
      <c r="I346" s="4">
        <v>0</v>
      </c>
    </row>
    <row r="347" spans="1:9" x14ac:dyDescent="0.2">
      <c r="A347" s="2">
        <v>15</v>
      </c>
      <c r="B347" s="1" t="s">
        <v>92</v>
      </c>
      <c r="C347" s="4">
        <v>129</v>
      </c>
      <c r="D347" s="8">
        <v>1.73</v>
      </c>
      <c r="E347" s="4">
        <v>6</v>
      </c>
      <c r="F347" s="8">
        <v>0.2</v>
      </c>
      <c r="G347" s="4">
        <v>123</v>
      </c>
      <c r="H347" s="8">
        <v>2.77</v>
      </c>
      <c r="I347" s="4">
        <v>0</v>
      </c>
    </row>
    <row r="348" spans="1:9" x14ac:dyDescent="0.2">
      <c r="A348" s="2">
        <v>16</v>
      </c>
      <c r="B348" s="1" t="s">
        <v>107</v>
      </c>
      <c r="C348" s="4">
        <v>125</v>
      </c>
      <c r="D348" s="8">
        <v>1.68</v>
      </c>
      <c r="E348" s="4">
        <v>10</v>
      </c>
      <c r="F348" s="8">
        <v>0.33</v>
      </c>
      <c r="G348" s="4">
        <v>115</v>
      </c>
      <c r="H348" s="8">
        <v>2.59</v>
      </c>
      <c r="I348" s="4">
        <v>0</v>
      </c>
    </row>
    <row r="349" spans="1:9" x14ac:dyDescent="0.2">
      <c r="A349" s="2">
        <v>17</v>
      </c>
      <c r="B349" s="1" t="s">
        <v>91</v>
      </c>
      <c r="C349" s="4">
        <v>117</v>
      </c>
      <c r="D349" s="8">
        <v>1.57</v>
      </c>
      <c r="E349" s="4">
        <v>2</v>
      </c>
      <c r="F349" s="8">
        <v>7.0000000000000007E-2</v>
      </c>
      <c r="G349" s="4">
        <v>115</v>
      </c>
      <c r="H349" s="8">
        <v>2.59</v>
      </c>
      <c r="I349" s="4">
        <v>0</v>
      </c>
    </row>
    <row r="350" spans="1:9" x14ac:dyDescent="0.2">
      <c r="A350" s="2">
        <v>18</v>
      </c>
      <c r="B350" s="1" t="s">
        <v>94</v>
      </c>
      <c r="C350" s="4">
        <v>107</v>
      </c>
      <c r="D350" s="8">
        <v>1.44</v>
      </c>
      <c r="E350" s="4">
        <v>6</v>
      </c>
      <c r="F350" s="8">
        <v>0.2</v>
      </c>
      <c r="G350" s="4">
        <v>101</v>
      </c>
      <c r="H350" s="8">
        <v>2.2799999999999998</v>
      </c>
      <c r="I350" s="4">
        <v>0</v>
      </c>
    </row>
    <row r="351" spans="1:9" x14ac:dyDescent="0.2">
      <c r="A351" s="2">
        <v>19</v>
      </c>
      <c r="B351" s="1" t="s">
        <v>97</v>
      </c>
      <c r="C351" s="4">
        <v>106</v>
      </c>
      <c r="D351" s="8">
        <v>1.42</v>
      </c>
      <c r="E351" s="4">
        <v>38</v>
      </c>
      <c r="F351" s="8">
        <v>1.27</v>
      </c>
      <c r="G351" s="4">
        <v>68</v>
      </c>
      <c r="H351" s="8">
        <v>1.53</v>
      </c>
      <c r="I351" s="4">
        <v>0</v>
      </c>
    </row>
    <row r="352" spans="1:9" x14ac:dyDescent="0.2">
      <c r="A352" s="2">
        <v>20</v>
      </c>
      <c r="B352" s="1" t="s">
        <v>114</v>
      </c>
      <c r="C352" s="4">
        <v>103</v>
      </c>
      <c r="D352" s="8">
        <v>1.38</v>
      </c>
      <c r="E352" s="4">
        <v>21</v>
      </c>
      <c r="F352" s="8">
        <v>0.7</v>
      </c>
      <c r="G352" s="4">
        <v>82</v>
      </c>
      <c r="H352" s="8">
        <v>1.85</v>
      </c>
      <c r="I352" s="4">
        <v>0</v>
      </c>
    </row>
    <row r="353" spans="1:9" x14ac:dyDescent="0.2">
      <c r="A353" s="1"/>
      <c r="C353" s="4"/>
      <c r="D353" s="8"/>
      <c r="E353" s="4"/>
      <c r="F353" s="8"/>
      <c r="G353" s="4"/>
      <c r="H353" s="8"/>
      <c r="I353" s="4"/>
    </row>
    <row r="354" spans="1:9" x14ac:dyDescent="0.2">
      <c r="A354" s="1" t="s">
        <v>16</v>
      </c>
      <c r="C354" s="4"/>
      <c r="D354" s="8"/>
      <c r="E354" s="4"/>
      <c r="F354" s="8"/>
      <c r="G354" s="4"/>
      <c r="H354" s="8"/>
      <c r="I354" s="4"/>
    </row>
    <row r="355" spans="1:9" x14ac:dyDescent="0.2">
      <c r="A355" s="2">
        <v>1</v>
      </c>
      <c r="B355" s="1" t="s">
        <v>100</v>
      </c>
      <c r="C355" s="4">
        <v>2142</v>
      </c>
      <c r="D355" s="8">
        <v>17.59</v>
      </c>
      <c r="E355" s="4">
        <v>779</v>
      </c>
      <c r="F355" s="8">
        <v>15.19</v>
      </c>
      <c r="G355" s="4">
        <v>1361</v>
      </c>
      <c r="H355" s="8">
        <v>19.36</v>
      </c>
      <c r="I355" s="4">
        <v>2</v>
      </c>
    </row>
    <row r="356" spans="1:9" x14ac:dyDescent="0.2">
      <c r="A356" s="2">
        <v>2</v>
      </c>
      <c r="B356" s="1" t="s">
        <v>103</v>
      </c>
      <c r="C356" s="4">
        <v>1555</v>
      </c>
      <c r="D356" s="8">
        <v>12.77</v>
      </c>
      <c r="E356" s="4">
        <v>1230</v>
      </c>
      <c r="F356" s="8">
        <v>23.98</v>
      </c>
      <c r="G356" s="4">
        <v>324</v>
      </c>
      <c r="H356" s="8">
        <v>4.6100000000000003</v>
      </c>
      <c r="I356" s="4">
        <v>1</v>
      </c>
    </row>
    <row r="357" spans="1:9" x14ac:dyDescent="0.2">
      <c r="A357" s="2">
        <v>3</v>
      </c>
      <c r="B357" s="1" t="s">
        <v>104</v>
      </c>
      <c r="C357" s="4">
        <v>956</v>
      </c>
      <c r="D357" s="8">
        <v>7.85</v>
      </c>
      <c r="E357" s="4">
        <v>649</v>
      </c>
      <c r="F357" s="8">
        <v>12.65</v>
      </c>
      <c r="G357" s="4">
        <v>307</v>
      </c>
      <c r="H357" s="8">
        <v>4.37</v>
      </c>
      <c r="I357" s="4">
        <v>0</v>
      </c>
    </row>
    <row r="358" spans="1:9" x14ac:dyDescent="0.2">
      <c r="A358" s="2">
        <v>4</v>
      </c>
      <c r="B358" s="1" t="s">
        <v>101</v>
      </c>
      <c r="C358" s="4">
        <v>813</v>
      </c>
      <c r="D358" s="8">
        <v>6.68</v>
      </c>
      <c r="E358" s="4">
        <v>347</v>
      </c>
      <c r="F358" s="8">
        <v>6.77</v>
      </c>
      <c r="G358" s="4">
        <v>466</v>
      </c>
      <c r="H358" s="8">
        <v>6.63</v>
      </c>
      <c r="I358" s="4">
        <v>0</v>
      </c>
    </row>
    <row r="359" spans="1:9" x14ac:dyDescent="0.2">
      <c r="A359" s="2">
        <v>5</v>
      </c>
      <c r="B359" s="1" t="s">
        <v>98</v>
      </c>
      <c r="C359" s="4">
        <v>731</v>
      </c>
      <c r="D359" s="8">
        <v>6</v>
      </c>
      <c r="E359" s="4">
        <v>384</v>
      </c>
      <c r="F359" s="8">
        <v>7.49</v>
      </c>
      <c r="G359" s="4">
        <v>346</v>
      </c>
      <c r="H359" s="8">
        <v>4.92</v>
      </c>
      <c r="I359" s="4">
        <v>1</v>
      </c>
    </row>
    <row r="360" spans="1:9" x14ac:dyDescent="0.2">
      <c r="A360" s="2">
        <v>6</v>
      </c>
      <c r="B360" s="1" t="s">
        <v>106</v>
      </c>
      <c r="C360" s="4">
        <v>584</v>
      </c>
      <c r="D360" s="8">
        <v>4.8</v>
      </c>
      <c r="E360" s="4">
        <v>473</v>
      </c>
      <c r="F360" s="8">
        <v>9.2200000000000006</v>
      </c>
      <c r="G360" s="4">
        <v>111</v>
      </c>
      <c r="H360" s="8">
        <v>1.58</v>
      </c>
      <c r="I360" s="4">
        <v>0</v>
      </c>
    </row>
    <row r="361" spans="1:9" x14ac:dyDescent="0.2">
      <c r="A361" s="2">
        <v>7</v>
      </c>
      <c r="B361" s="1" t="s">
        <v>105</v>
      </c>
      <c r="C361" s="4">
        <v>434</v>
      </c>
      <c r="D361" s="8">
        <v>3.56</v>
      </c>
      <c r="E361" s="4">
        <v>275</v>
      </c>
      <c r="F361" s="8">
        <v>5.36</v>
      </c>
      <c r="G361" s="4">
        <v>158</v>
      </c>
      <c r="H361" s="8">
        <v>2.25</v>
      </c>
      <c r="I361" s="4">
        <v>1</v>
      </c>
    </row>
    <row r="362" spans="1:9" x14ac:dyDescent="0.2">
      <c r="A362" s="2">
        <v>8</v>
      </c>
      <c r="B362" s="1" t="s">
        <v>96</v>
      </c>
      <c r="C362" s="4">
        <v>411</v>
      </c>
      <c r="D362" s="8">
        <v>3.38</v>
      </c>
      <c r="E362" s="4">
        <v>235</v>
      </c>
      <c r="F362" s="8">
        <v>4.58</v>
      </c>
      <c r="G362" s="4">
        <v>176</v>
      </c>
      <c r="H362" s="8">
        <v>2.5</v>
      </c>
      <c r="I362" s="4">
        <v>0</v>
      </c>
    </row>
    <row r="363" spans="1:9" x14ac:dyDescent="0.2">
      <c r="A363" s="2">
        <v>9</v>
      </c>
      <c r="B363" s="1" t="s">
        <v>88</v>
      </c>
      <c r="C363" s="4">
        <v>359</v>
      </c>
      <c r="D363" s="8">
        <v>2.95</v>
      </c>
      <c r="E363" s="4">
        <v>36</v>
      </c>
      <c r="F363" s="8">
        <v>0.7</v>
      </c>
      <c r="G363" s="4">
        <v>323</v>
      </c>
      <c r="H363" s="8">
        <v>4.5999999999999996</v>
      </c>
      <c r="I363" s="4">
        <v>0</v>
      </c>
    </row>
    <row r="364" spans="1:9" x14ac:dyDescent="0.2">
      <c r="A364" s="2">
        <v>10</v>
      </c>
      <c r="B364" s="1" t="s">
        <v>89</v>
      </c>
      <c r="C364" s="4">
        <v>340</v>
      </c>
      <c r="D364" s="8">
        <v>2.79</v>
      </c>
      <c r="E364" s="4">
        <v>61</v>
      </c>
      <c r="F364" s="8">
        <v>1.19</v>
      </c>
      <c r="G364" s="4">
        <v>279</v>
      </c>
      <c r="H364" s="8">
        <v>3.97</v>
      </c>
      <c r="I364" s="4">
        <v>0</v>
      </c>
    </row>
    <row r="365" spans="1:9" x14ac:dyDescent="0.2">
      <c r="A365" s="2">
        <v>11</v>
      </c>
      <c r="B365" s="1" t="s">
        <v>99</v>
      </c>
      <c r="C365" s="4">
        <v>324</v>
      </c>
      <c r="D365" s="8">
        <v>2.66</v>
      </c>
      <c r="E365" s="4">
        <v>30</v>
      </c>
      <c r="F365" s="8">
        <v>0.57999999999999996</v>
      </c>
      <c r="G365" s="4">
        <v>294</v>
      </c>
      <c r="H365" s="8">
        <v>4.18</v>
      </c>
      <c r="I365" s="4">
        <v>0</v>
      </c>
    </row>
    <row r="366" spans="1:9" x14ac:dyDescent="0.2">
      <c r="A366" s="2">
        <v>12</v>
      </c>
      <c r="B366" s="1" t="s">
        <v>95</v>
      </c>
      <c r="C366" s="4">
        <v>303</v>
      </c>
      <c r="D366" s="8">
        <v>2.4900000000000002</v>
      </c>
      <c r="E366" s="4">
        <v>146</v>
      </c>
      <c r="F366" s="8">
        <v>2.85</v>
      </c>
      <c r="G366" s="4">
        <v>157</v>
      </c>
      <c r="H366" s="8">
        <v>2.23</v>
      </c>
      <c r="I366" s="4">
        <v>0</v>
      </c>
    </row>
    <row r="367" spans="1:9" x14ac:dyDescent="0.2">
      <c r="A367" s="2">
        <v>13</v>
      </c>
      <c r="B367" s="1" t="s">
        <v>102</v>
      </c>
      <c r="C367" s="4">
        <v>288</v>
      </c>
      <c r="D367" s="8">
        <v>2.37</v>
      </c>
      <c r="E367" s="4">
        <v>71</v>
      </c>
      <c r="F367" s="8">
        <v>1.38</v>
      </c>
      <c r="G367" s="4">
        <v>216</v>
      </c>
      <c r="H367" s="8">
        <v>3.07</v>
      </c>
      <c r="I367" s="4">
        <v>0</v>
      </c>
    </row>
    <row r="368" spans="1:9" x14ac:dyDescent="0.2">
      <c r="A368" s="2">
        <v>14</v>
      </c>
      <c r="B368" s="1" t="s">
        <v>92</v>
      </c>
      <c r="C368" s="4">
        <v>259</v>
      </c>
      <c r="D368" s="8">
        <v>2.13</v>
      </c>
      <c r="E368" s="4">
        <v>13</v>
      </c>
      <c r="F368" s="8">
        <v>0.25</v>
      </c>
      <c r="G368" s="4">
        <v>246</v>
      </c>
      <c r="H368" s="8">
        <v>3.5</v>
      </c>
      <c r="I368" s="4">
        <v>0</v>
      </c>
    </row>
    <row r="369" spans="1:9" x14ac:dyDescent="0.2">
      <c r="A369" s="2">
        <v>15</v>
      </c>
      <c r="B369" s="1" t="s">
        <v>90</v>
      </c>
      <c r="C369" s="4">
        <v>228</v>
      </c>
      <c r="D369" s="8">
        <v>1.87</v>
      </c>
      <c r="E369" s="4">
        <v>21</v>
      </c>
      <c r="F369" s="8">
        <v>0.41</v>
      </c>
      <c r="G369" s="4">
        <v>207</v>
      </c>
      <c r="H369" s="8">
        <v>2.94</v>
      </c>
      <c r="I369" s="4">
        <v>0</v>
      </c>
    </row>
    <row r="370" spans="1:9" x14ac:dyDescent="0.2">
      <c r="A370" s="2">
        <v>16</v>
      </c>
      <c r="B370" s="1" t="s">
        <v>94</v>
      </c>
      <c r="C370" s="4">
        <v>183</v>
      </c>
      <c r="D370" s="8">
        <v>1.5</v>
      </c>
      <c r="E370" s="4">
        <v>19</v>
      </c>
      <c r="F370" s="8">
        <v>0.37</v>
      </c>
      <c r="G370" s="4">
        <v>164</v>
      </c>
      <c r="H370" s="8">
        <v>2.33</v>
      </c>
      <c r="I370" s="4">
        <v>0</v>
      </c>
    </row>
    <row r="371" spans="1:9" x14ac:dyDescent="0.2">
      <c r="A371" s="2">
        <v>17</v>
      </c>
      <c r="B371" s="1" t="s">
        <v>107</v>
      </c>
      <c r="C371" s="4">
        <v>179</v>
      </c>
      <c r="D371" s="8">
        <v>1.47</v>
      </c>
      <c r="E371" s="4">
        <v>13</v>
      </c>
      <c r="F371" s="8">
        <v>0.25</v>
      </c>
      <c r="G371" s="4">
        <v>165</v>
      </c>
      <c r="H371" s="8">
        <v>2.35</v>
      </c>
      <c r="I371" s="4">
        <v>1</v>
      </c>
    </row>
    <row r="372" spans="1:9" x14ac:dyDescent="0.2">
      <c r="A372" s="2">
        <v>18</v>
      </c>
      <c r="B372" s="1" t="s">
        <v>97</v>
      </c>
      <c r="C372" s="4">
        <v>172</v>
      </c>
      <c r="D372" s="8">
        <v>1.41</v>
      </c>
      <c r="E372" s="4">
        <v>62</v>
      </c>
      <c r="F372" s="8">
        <v>1.21</v>
      </c>
      <c r="G372" s="4">
        <v>110</v>
      </c>
      <c r="H372" s="8">
        <v>1.56</v>
      </c>
      <c r="I372" s="4">
        <v>0</v>
      </c>
    </row>
    <row r="373" spans="1:9" x14ac:dyDescent="0.2">
      <c r="A373" s="2">
        <v>19</v>
      </c>
      <c r="B373" s="1" t="s">
        <v>91</v>
      </c>
      <c r="C373" s="4">
        <v>165</v>
      </c>
      <c r="D373" s="8">
        <v>1.36</v>
      </c>
      <c r="E373" s="4">
        <v>3</v>
      </c>
      <c r="F373" s="8">
        <v>0.06</v>
      </c>
      <c r="G373" s="4">
        <v>162</v>
      </c>
      <c r="H373" s="8">
        <v>2.2999999999999998</v>
      </c>
      <c r="I373" s="4">
        <v>0</v>
      </c>
    </row>
    <row r="374" spans="1:9" x14ac:dyDescent="0.2">
      <c r="A374" s="2">
        <v>20</v>
      </c>
      <c r="B374" s="1" t="s">
        <v>114</v>
      </c>
      <c r="C374" s="4">
        <v>150</v>
      </c>
      <c r="D374" s="8">
        <v>1.23</v>
      </c>
      <c r="E374" s="4">
        <v>30</v>
      </c>
      <c r="F374" s="8">
        <v>0.57999999999999996</v>
      </c>
      <c r="G374" s="4">
        <v>117</v>
      </c>
      <c r="H374" s="8">
        <v>1.66</v>
      </c>
      <c r="I374" s="4">
        <v>3</v>
      </c>
    </row>
    <row r="375" spans="1:9" x14ac:dyDescent="0.2">
      <c r="A375" s="1"/>
      <c r="C375" s="4"/>
      <c r="D375" s="8"/>
      <c r="E375" s="4"/>
      <c r="F375" s="8"/>
      <c r="G375" s="4"/>
      <c r="H375" s="8"/>
      <c r="I375" s="4"/>
    </row>
    <row r="376" spans="1:9" x14ac:dyDescent="0.2">
      <c r="A376" s="1" t="s">
        <v>17</v>
      </c>
      <c r="C376" s="4"/>
      <c r="D376" s="8"/>
      <c r="E376" s="4"/>
      <c r="F376" s="8"/>
      <c r="G376" s="4"/>
      <c r="H376" s="8"/>
      <c r="I376" s="4"/>
    </row>
    <row r="377" spans="1:9" x14ac:dyDescent="0.2">
      <c r="A377" s="2">
        <v>1</v>
      </c>
      <c r="B377" s="1" t="s">
        <v>100</v>
      </c>
      <c r="C377" s="4">
        <v>1245</v>
      </c>
      <c r="D377" s="8">
        <v>12.64</v>
      </c>
      <c r="E377" s="4">
        <v>285</v>
      </c>
      <c r="F377" s="8">
        <v>9.08</v>
      </c>
      <c r="G377" s="4">
        <v>958</v>
      </c>
      <c r="H377" s="8">
        <v>14.32</v>
      </c>
      <c r="I377" s="4">
        <v>2</v>
      </c>
    </row>
    <row r="378" spans="1:9" x14ac:dyDescent="0.2">
      <c r="A378" s="2">
        <v>2</v>
      </c>
      <c r="B378" s="1" t="s">
        <v>103</v>
      </c>
      <c r="C378" s="4">
        <v>1031</v>
      </c>
      <c r="D378" s="8">
        <v>10.47</v>
      </c>
      <c r="E378" s="4">
        <v>689</v>
      </c>
      <c r="F378" s="8">
        <v>21.96</v>
      </c>
      <c r="G378" s="4">
        <v>342</v>
      </c>
      <c r="H378" s="8">
        <v>5.1100000000000003</v>
      </c>
      <c r="I378" s="4">
        <v>0</v>
      </c>
    </row>
    <row r="379" spans="1:9" x14ac:dyDescent="0.2">
      <c r="A379" s="2">
        <v>3</v>
      </c>
      <c r="B379" s="1" t="s">
        <v>101</v>
      </c>
      <c r="C379" s="4">
        <v>918</v>
      </c>
      <c r="D379" s="8">
        <v>9.32</v>
      </c>
      <c r="E379" s="4">
        <v>495</v>
      </c>
      <c r="F379" s="8">
        <v>15.77</v>
      </c>
      <c r="G379" s="4">
        <v>419</v>
      </c>
      <c r="H379" s="8">
        <v>6.26</v>
      </c>
      <c r="I379" s="4">
        <v>4</v>
      </c>
    </row>
    <row r="380" spans="1:9" x14ac:dyDescent="0.2">
      <c r="A380" s="2">
        <v>4</v>
      </c>
      <c r="B380" s="1" t="s">
        <v>104</v>
      </c>
      <c r="C380" s="4">
        <v>614</v>
      </c>
      <c r="D380" s="8">
        <v>6.24</v>
      </c>
      <c r="E380" s="4">
        <v>421</v>
      </c>
      <c r="F380" s="8">
        <v>13.42</v>
      </c>
      <c r="G380" s="4">
        <v>193</v>
      </c>
      <c r="H380" s="8">
        <v>2.89</v>
      </c>
      <c r="I380" s="4">
        <v>0</v>
      </c>
    </row>
    <row r="381" spans="1:9" x14ac:dyDescent="0.2">
      <c r="A381" s="2">
        <v>5</v>
      </c>
      <c r="B381" s="1" t="s">
        <v>98</v>
      </c>
      <c r="C381" s="4">
        <v>490</v>
      </c>
      <c r="D381" s="8">
        <v>4.9800000000000004</v>
      </c>
      <c r="E381" s="4">
        <v>174</v>
      </c>
      <c r="F381" s="8">
        <v>5.54</v>
      </c>
      <c r="G381" s="4">
        <v>316</v>
      </c>
      <c r="H381" s="8">
        <v>4.72</v>
      </c>
      <c r="I381" s="4">
        <v>0</v>
      </c>
    </row>
    <row r="382" spans="1:9" x14ac:dyDescent="0.2">
      <c r="A382" s="2">
        <v>6</v>
      </c>
      <c r="B382" s="1" t="s">
        <v>106</v>
      </c>
      <c r="C382" s="4">
        <v>437</v>
      </c>
      <c r="D382" s="8">
        <v>4.4400000000000004</v>
      </c>
      <c r="E382" s="4">
        <v>346</v>
      </c>
      <c r="F382" s="8">
        <v>11.03</v>
      </c>
      <c r="G382" s="4">
        <v>91</v>
      </c>
      <c r="H382" s="8">
        <v>1.36</v>
      </c>
      <c r="I382" s="4">
        <v>0</v>
      </c>
    </row>
    <row r="383" spans="1:9" x14ac:dyDescent="0.2">
      <c r="A383" s="2">
        <v>7</v>
      </c>
      <c r="B383" s="1" t="s">
        <v>95</v>
      </c>
      <c r="C383" s="4">
        <v>391</v>
      </c>
      <c r="D383" s="8">
        <v>3.97</v>
      </c>
      <c r="E383" s="4">
        <v>71</v>
      </c>
      <c r="F383" s="8">
        <v>2.2599999999999998</v>
      </c>
      <c r="G383" s="4">
        <v>320</v>
      </c>
      <c r="H383" s="8">
        <v>4.78</v>
      </c>
      <c r="I383" s="4">
        <v>0</v>
      </c>
    </row>
    <row r="384" spans="1:9" x14ac:dyDescent="0.2">
      <c r="A384" s="2">
        <v>8</v>
      </c>
      <c r="B384" s="1" t="s">
        <v>99</v>
      </c>
      <c r="C384" s="4">
        <v>348</v>
      </c>
      <c r="D384" s="8">
        <v>3.53</v>
      </c>
      <c r="E384" s="4">
        <v>21</v>
      </c>
      <c r="F384" s="8">
        <v>0.67</v>
      </c>
      <c r="G384" s="4">
        <v>327</v>
      </c>
      <c r="H384" s="8">
        <v>4.8899999999999997</v>
      </c>
      <c r="I384" s="4">
        <v>0</v>
      </c>
    </row>
    <row r="385" spans="1:9" x14ac:dyDescent="0.2">
      <c r="A385" s="2">
        <v>9</v>
      </c>
      <c r="B385" s="1" t="s">
        <v>96</v>
      </c>
      <c r="C385" s="4">
        <v>324</v>
      </c>
      <c r="D385" s="8">
        <v>3.29</v>
      </c>
      <c r="E385" s="4">
        <v>147</v>
      </c>
      <c r="F385" s="8">
        <v>4.68</v>
      </c>
      <c r="G385" s="4">
        <v>177</v>
      </c>
      <c r="H385" s="8">
        <v>2.65</v>
      </c>
      <c r="I385" s="4">
        <v>0</v>
      </c>
    </row>
    <row r="386" spans="1:9" x14ac:dyDescent="0.2">
      <c r="A386" s="2">
        <v>10</v>
      </c>
      <c r="B386" s="1" t="s">
        <v>105</v>
      </c>
      <c r="C386" s="4">
        <v>294</v>
      </c>
      <c r="D386" s="8">
        <v>2.99</v>
      </c>
      <c r="E386" s="4">
        <v>132</v>
      </c>
      <c r="F386" s="8">
        <v>4.21</v>
      </c>
      <c r="G386" s="4">
        <v>161</v>
      </c>
      <c r="H386" s="8">
        <v>2.41</v>
      </c>
      <c r="I386" s="4">
        <v>1</v>
      </c>
    </row>
    <row r="387" spans="1:9" x14ac:dyDescent="0.2">
      <c r="A387" s="2">
        <v>11</v>
      </c>
      <c r="B387" s="1" t="s">
        <v>102</v>
      </c>
      <c r="C387" s="4">
        <v>287</v>
      </c>
      <c r="D387" s="8">
        <v>2.91</v>
      </c>
      <c r="E387" s="4">
        <v>55</v>
      </c>
      <c r="F387" s="8">
        <v>1.75</v>
      </c>
      <c r="G387" s="4">
        <v>231</v>
      </c>
      <c r="H387" s="8">
        <v>3.45</v>
      </c>
      <c r="I387" s="4">
        <v>0</v>
      </c>
    </row>
    <row r="388" spans="1:9" x14ac:dyDescent="0.2">
      <c r="A388" s="2">
        <v>12</v>
      </c>
      <c r="B388" s="1" t="s">
        <v>89</v>
      </c>
      <c r="C388" s="4">
        <v>259</v>
      </c>
      <c r="D388" s="8">
        <v>2.63</v>
      </c>
      <c r="E388" s="4">
        <v>30</v>
      </c>
      <c r="F388" s="8">
        <v>0.96</v>
      </c>
      <c r="G388" s="4">
        <v>229</v>
      </c>
      <c r="H388" s="8">
        <v>3.42</v>
      </c>
      <c r="I388" s="4">
        <v>0</v>
      </c>
    </row>
    <row r="389" spans="1:9" x14ac:dyDescent="0.2">
      <c r="A389" s="2">
        <v>13</v>
      </c>
      <c r="B389" s="1" t="s">
        <v>107</v>
      </c>
      <c r="C389" s="4">
        <v>240</v>
      </c>
      <c r="D389" s="8">
        <v>2.44</v>
      </c>
      <c r="E389" s="4">
        <v>8</v>
      </c>
      <c r="F389" s="8">
        <v>0.25</v>
      </c>
      <c r="G389" s="4">
        <v>228</v>
      </c>
      <c r="H389" s="8">
        <v>3.41</v>
      </c>
      <c r="I389" s="4">
        <v>4</v>
      </c>
    </row>
    <row r="390" spans="1:9" x14ac:dyDescent="0.2">
      <c r="A390" s="2">
        <v>14</v>
      </c>
      <c r="B390" s="1" t="s">
        <v>90</v>
      </c>
      <c r="C390" s="4">
        <v>221</v>
      </c>
      <c r="D390" s="8">
        <v>2.2400000000000002</v>
      </c>
      <c r="E390" s="4">
        <v>15</v>
      </c>
      <c r="F390" s="8">
        <v>0.48</v>
      </c>
      <c r="G390" s="4">
        <v>206</v>
      </c>
      <c r="H390" s="8">
        <v>3.08</v>
      </c>
      <c r="I390" s="4">
        <v>0</v>
      </c>
    </row>
    <row r="391" spans="1:9" x14ac:dyDescent="0.2">
      <c r="A391" s="2">
        <v>15</v>
      </c>
      <c r="B391" s="1" t="s">
        <v>91</v>
      </c>
      <c r="C391" s="4">
        <v>213</v>
      </c>
      <c r="D391" s="8">
        <v>2.16</v>
      </c>
      <c r="E391" s="4">
        <v>2</v>
      </c>
      <c r="F391" s="8">
        <v>0.06</v>
      </c>
      <c r="G391" s="4">
        <v>211</v>
      </c>
      <c r="H391" s="8">
        <v>3.15</v>
      </c>
      <c r="I391" s="4">
        <v>0</v>
      </c>
    </row>
    <row r="392" spans="1:9" x14ac:dyDescent="0.2">
      <c r="A392" s="2">
        <v>16</v>
      </c>
      <c r="B392" s="1" t="s">
        <v>94</v>
      </c>
      <c r="C392" s="4">
        <v>202</v>
      </c>
      <c r="D392" s="8">
        <v>2.0499999999999998</v>
      </c>
      <c r="E392" s="4">
        <v>7</v>
      </c>
      <c r="F392" s="8">
        <v>0.22</v>
      </c>
      <c r="G392" s="4">
        <v>195</v>
      </c>
      <c r="H392" s="8">
        <v>2.92</v>
      </c>
      <c r="I392" s="4">
        <v>0</v>
      </c>
    </row>
    <row r="393" spans="1:9" x14ac:dyDescent="0.2">
      <c r="A393" s="2">
        <v>17</v>
      </c>
      <c r="B393" s="1" t="s">
        <v>88</v>
      </c>
      <c r="C393" s="4">
        <v>196</v>
      </c>
      <c r="D393" s="8">
        <v>1.99</v>
      </c>
      <c r="E393" s="4">
        <v>10</v>
      </c>
      <c r="F393" s="8">
        <v>0.32</v>
      </c>
      <c r="G393" s="4">
        <v>186</v>
      </c>
      <c r="H393" s="8">
        <v>2.78</v>
      </c>
      <c r="I393" s="4">
        <v>0</v>
      </c>
    </row>
    <row r="394" spans="1:9" x14ac:dyDescent="0.2">
      <c r="A394" s="2">
        <v>18</v>
      </c>
      <c r="B394" s="1" t="s">
        <v>92</v>
      </c>
      <c r="C394" s="4">
        <v>155</v>
      </c>
      <c r="D394" s="8">
        <v>1.57</v>
      </c>
      <c r="E394" s="4">
        <v>10</v>
      </c>
      <c r="F394" s="8">
        <v>0.32</v>
      </c>
      <c r="G394" s="4">
        <v>144</v>
      </c>
      <c r="H394" s="8">
        <v>2.15</v>
      </c>
      <c r="I394" s="4">
        <v>1</v>
      </c>
    </row>
    <row r="395" spans="1:9" x14ac:dyDescent="0.2">
      <c r="A395" s="2">
        <v>19</v>
      </c>
      <c r="B395" s="1" t="s">
        <v>108</v>
      </c>
      <c r="C395" s="4">
        <v>154</v>
      </c>
      <c r="D395" s="8">
        <v>1.56</v>
      </c>
      <c r="E395" s="4">
        <v>14</v>
      </c>
      <c r="F395" s="8">
        <v>0.45</v>
      </c>
      <c r="G395" s="4">
        <v>140</v>
      </c>
      <c r="H395" s="8">
        <v>2.09</v>
      </c>
      <c r="I395" s="4">
        <v>0</v>
      </c>
    </row>
    <row r="396" spans="1:9" x14ac:dyDescent="0.2">
      <c r="A396" s="2">
        <v>20</v>
      </c>
      <c r="B396" s="1" t="s">
        <v>93</v>
      </c>
      <c r="C396" s="4">
        <v>144</v>
      </c>
      <c r="D396" s="8">
        <v>1.46</v>
      </c>
      <c r="E396" s="4">
        <v>3</v>
      </c>
      <c r="F396" s="8">
        <v>0.1</v>
      </c>
      <c r="G396" s="4">
        <v>141</v>
      </c>
      <c r="H396" s="8">
        <v>2.11</v>
      </c>
      <c r="I396" s="4">
        <v>0</v>
      </c>
    </row>
    <row r="397" spans="1:9" x14ac:dyDescent="0.2">
      <c r="A397" s="1"/>
      <c r="C397" s="4"/>
      <c r="D397" s="8"/>
      <c r="E397" s="4"/>
      <c r="F397" s="8"/>
      <c r="G397" s="4"/>
      <c r="H397" s="8"/>
      <c r="I397" s="4"/>
    </row>
    <row r="398" spans="1:9" x14ac:dyDescent="0.2">
      <c r="A398" s="1" t="s">
        <v>18</v>
      </c>
      <c r="C398" s="4"/>
      <c r="D398" s="8"/>
      <c r="E398" s="4"/>
      <c r="F398" s="8"/>
      <c r="G398" s="4"/>
      <c r="H398" s="8"/>
      <c r="I398" s="4"/>
    </row>
    <row r="399" spans="1:9" x14ac:dyDescent="0.2">
      <c r="A399" s="2">
        <v>1</v>
      </c>
      <c r="B399" s="1" t="s">
        <v>100</v>
      </c>
      <c r="C399" s="4">
        <v>1056</v>
      </c>
      <c r="D399" s="8">
        <v>14.82</v>
      </c>
      <c r="E399" s="4">
        <v>464</v>
      </c>
      <c r="F399" s="8">
        <v>15.3</v>
      </c>
      <c r="G399" s="4">
        <v>591</v>
      </c>
      <c r="H399" s="8">
        <v>14.49</v>
      </c>
      <c r="I399" s="4">
        <v>1</v>
      </c>
    </row>
    <row r="400" spans="1:9" x14ac:dyDescent="0.2">
      <c r="A400" s="2">
        <v>2</v>
      </c>
      <c r="B400" s="1" t="s">
        <v>103</v>
      </c>
      <c r="C400" s="4">
        <v>814</v>
      </c>
      <c r="D400" s="8">
        <v>11.43</v>
      </c>
      <c r="E400" s="4">
        <v>646</v>
      </c>
      <c r="F400" s="8">
        <v>21.31</v>
      </c>
      <c r="G400" s="4">
        <v>168</v>
      </c>
      <c r="H400" s="8">
        <v>4.12</v>
      </c>
      <c r="I400" s="4">
        <v>0</v>
      </c>
    </row>
    <row r="401" spans="1:9" x14ac:dyDescent="0.2">
      <c r="A401" s="2">
        <v>3</v>
      </c>
      <c r="B401" s="1" t="s">
        <v>104</v>
      </c>
      <c r="C401" s="4">
        <v>582</v>
      </c>
      <c r="D401" s="8">
        <v>8.17</v>
      </c>
      <c r="E401" s="4">
        <v>429</v>
      </c>
      <c r="F401" s="8">
        <v>14.15</v>
      </c>
      <c r="G401" s="4">
        <v>153</v>
      </c>
      <c r="H401" s="8">
        <v>3.75</v>
      </c>
      <c r="I401" s="4">
        <v>0</v>
      </c>
    </row>
    <row r="402" spans="1:9" x14ac:dyDescent="0.2">
      <c r="A402" s="2">
        <v>4</v>
      </c>
      <c r="B402" s="1" t="s">
        <v>98</v>
      </c>
      <c r="C402" s="4">
        <v>378</v>
      </c>
      <c r="D402" s="8">
        <v>5.31</v>
      </c>
      <c r="E402" s="4">
        <v>184</v>
      </c>
      <c r="F402" s="8">
        <v>6.07</v>
      </c>
      <c r="G402" s="4">
        <v>193</v>
      </c>
      <c r="H402" s="8">
        <v>4.7300000000000004</v>
      </c>
      <c r="I402" s="4">
        <v>1</v>
      </c>
    </row>
    <row r="403" spans="1:9" x14ac:dyDescent="0.2">
      <c r="A403" s="2">
        <v>5</v>
      </c>
      <c r="B403" s="1" t="s">
        <v>96</v>
      </c>
      <c r="C403" s="4">
        <v>318</v>
      </c>
      <c r="D403" s="8">
        <v>4.46</v>
      </c>
      <c r="E403" s="4">
        <v>209</v>
      </c>
      <c r="F403" s="8">
        <v>6.89</v>
      </c>
      <c r="G403" s="4">
        <v>109</v>
      </c>
      <c r="H403" s="8">
        <v>2.67</v>
      </c>
      <c r="I403" s="4">
        <v>0</v>
      </c>
    </row>
    <row r="404" spans="1:9" x14ac:dyDescent="0.2">
      <c r="A404" s="2">
        <v>6</v>
      </c>
      <c r="B404" s="1" t="s">
        <v>106</v>
      </c>
      <c r="C404" s="4">
        <v>313</v>
      </c>
      <c r="D404" s="8">
        <v>4.3899999999999997</v>
      </c>
      <c r="E404" s="4">
        <v>258</v>
      </c>
      <c r="F404" s="8">
        <v>8.51</v>
      </c>
      <c r="G404" s="4">
        <v>55</v>
      </c>
      <c r="H404" s="8">
        <v>1.35</v>
      </c>
      <c r="I404" s="4">
        <v>0</v>
      </c>
    </row>
    <row r="405" spans="1:9" x14ac:dyDescent="0.2">
      <c r="A405" s="2">
        <v>7</v>
      </c>
      <c r="B405" s="1" t="s">
        <v>101</v>
      </c>
      <c r="C405" s="4">
        <v>277</v>
      </c>
      <c r="D405" s="8">
        <v>3.89</v>
      </c>
      <c r="E405" s="4">
        <v>129</v>
      </c>
      <c r="F405" s="8">
        <v>4.25</v>
      </c>
      <c r="G405" s="4">
        <v>148</v>
      </c>
      <c r="H405" s="8">
        <v>3.63</v>
      </c>
      <c r="I405" s="4">
        <v>0</v>
      </c>
    </row>
    <row r="406" spans="1:9" x14ac:dyDescent="0.2">
      <c r="A406" s="2">
        <v>8</v>
      </c>
      <c r="B406" s="1" t="s">
        <v>89</v>
      </c>
      <c r="C406" s="4">
        <v>267</v>
      </c>
      <c r="D406" s="8">
        <v>3.75</v>
      </c>
      <c r="E406" s="4">
        <v>47</v>
      </c>
      <c r="F406" s="8">
        <v>1.55</v>
      </c>
      <c r="G406" s="4">
        <v>220</v>
      </c>
      <c r="H406" s="8">
        <v>5.39</v>
      </c>
      <c r="I406" s="4">
        <v>0</v>
      </c>
    </row>
    <row r="407" spans="1:9" x14ac:dyDescent="0.2">
      <c r="A407" s="2">
        <v>9</v>
      </c>
      <c r="B407" s="1" t="s">
        <v>90</v>
      </c>
      <c r="C407" s="4">
        <v>241</v>
      </c>
      <c r="D407" s="8">
        <v>3.38</v>
      </c>
      <c r="E407" s="4">
        <v>23</v>
      </c>
      <c r="F407" s="8">
        <v>0.76</v>
      </c>
      <c r="G407" s="4">
        <v>218</v>
      </c>
      <c r="H407" s="8">
        <v>5.34</v>
      </c>
      <c r="I407" s="4">
        <v>0</v>
      </c>
    </row>
    <row r="408" spans="1:9" x14ac:dyDescent="0.2">
      <c r="A408" s="2">
        <v>10</v>
      </c>
      <c r="B408" s="1" t="s">
        <v>88</v>
      </c>
      <c r="C408" s="4">
        <v>214</v>
      </c>
      <c r="D408" s="8">
        <v>3</v>
      </c>
      <c r="E408" s="4">
        <v>18</v>
      </c>
      <c r="F408" s="8">
        <v>0.59</v>
      </c>
      <c r="G408" s="4">
        <v>196</v>
      </c>
      <c r="H408" s="8">
        <v>4.8099999999999996</v>
      </c>
      <c r="I408" s="4">
        <v>0</v>
      </c>
    </row>
    <row r="409" spans="1:9" x14ac:dyDescent="0.2">
      <c r="A409" s="2">
        <v>11</v>
      </c>
      <c r="B409" s="1" t="s">
        <v>105</v>
      </c>
      <c r="C409" s="4">
        <v>175</v>
      </c>
      <c r="D409" s="8">
        <v>2.46</v>
      </c>
      <c r="E409" s="4">
        <v>110</v>
      </c>
      <c r="F409" s="8">
        <v>3.63</v>
      </c>
      <c r="G409" s="4">
        <v>64</v>
      </c>
      <c r="H409" s="8">
        <v>1.57</v>
      </c>
      <c r="I409" s="4">
        <v>1</v>
      </c>
    </row>
    <row r="410" spans="1:9" x14ac:dyDescent="0.2">
      <c r="A410" s="2">
        <v>12</v>
      </c>
      <c r="B410" s="1" t="s">
        <v>102</v>
      </c>
      <c r="C410" s="4">
        <v>154</v>
      </c>
      <c r="D410" s="8">
        <v>2.16</v>
      </c>
      <c r="E410" s="4">
        <v>32</v>
      </c>
      <c r="F410" s="8">
        <v>1.06</v>
      </c>
      <c r="G410" s="4">
        <v>120</v>
      </c>
      <c r="H410" s="8">
        <v>2.94</v>
      </c>
      <c r="I410" s="4">
        <v>0</v>
      </c>
    </row>
    <row r="411" spans="1:9" x14ac:dyDescent="0.2">
      <c r="A411" s="2">
        <v>13</v>
      </c>
      <c r="B411" s="1" t="s">
        <v>95</v>
      </c>
      <c r="C411" s="4">
        <v>148</v>
      </c>
      <c r="D411" s="8">
        <v>2.08</v>
      </c>
      <c r="E411" s="4">
        <v>79</v>
      </c>
      <c r="F411" s="8">
        <v>2.61</v>
      </c>
      <c r="G411" s="4">
        <v>69</v>
      </c>
      <c r="H411" s="8">
        <v>1.69</v>
      </c>
      <c r="I411" s="4">
        <v>0</v>
      </c>
    </row>
    <row r="412" spans="1:9" x14ac:dyDescent="0.2">
      <c r="A412" s="2">
        <v>14</v>
      </c>
      <c r="B412" s="1" t="s">
        <v>99</v>
      </c>
      <c r="C412" s="4">
        <v>147</v>
      </c>
      <c r="D412" s="8">
        <v>2.06</v>
      </c>
      <c r="E412" s="4">
        <v>20</v>
      </c>
      <c r="F412" s="8">
        <v>0.66</v>
      </c>
      <c r="G412" s="4">
        <v>127</v>
      </c>
      <c r="H412" s="8">
        <v>3.11</v>
      </c>
      <c r="I412" s="4">
        <v>0</v>
      </c>
    </row>
    <row r="413" spans="1:9" x14ac:dyDescent="0.2">
      <c r="A413" s="2">
        <v>15</v>
      </c>
      <c r="B413" s="1" t="s">
        <v>94</v>
      </c>
      <c r="C413" s="4">
        <v>136</v>
      </c>
      <c r="D413" s="8">
        <v>1.91</v>
      </c>
      <c r="E413" s="4">
        <v>17</v>
      </c>
      <c r="F413" s="8">
        <v>0.56000000000000005</v>
      </c>
      <c r="G413" s="4">
        <v>119</v>
      </c>
      <c r="H413" s="8">
        <v>2.92</v>
      </c>
      <c r="I413" s="4">
        <v>0</v>
      </c>
    </row>
    <row r="414" spans="1:9" x14ac:dyDescent="0.2">
      <c r="A414" s="2">
        <v>16</v>
      </c>
      <c r="B414" s="1" t="s">
        <v>108</v>
      </c>
      <c r="C414" s="4">
        <v>126</v>
      </c>
      <c r="D414" s="8">
        <v>1.77</v>
      </c>
      <c r="E414" s="4">
        <v>11</v>
      </c>
      <c r="F414" s="8">
        <v>0.36</v>
      </c>
      <c r="G414" s="4">
        <v>115</v>
      </c>
      <c r="H414" s="8">
        <v>2.82</v>
      </c>
      <c r="I414" s="4">
        <v>0</v>
      </c>
    </row>
    <row r="415" spans="1:9" x14ac:dyDescent="0.2">
      <c r="A415" s="2">
        <v>17</v>
      </c>
      <c r="B415" s="1" t="s">
        <v>107</v>
      </c>
      <c r="C415" s="4">
        <v>111</v>
      </c>
      <c r="D415" s="8">
        <v>1.56</v>
      </c>
      <c r="E415" s="4">
        <v>6</v>
      </c>
      <c r="F415" s="8">
        <v>0.2</v>
      </c>
      <c r="G415" s="4">
        <v>105</v>
      </c>
      <c r="H415" s="8">
        <v>2.57</v>
      </c>
      <c r="I415" s="4">
        <v>0</v>
      </c>
    </row>
    <row r="416" spans="1:9" x14ac:dyDescent="0.2">
      <c r="A416" s="2">
        <v>18</v>
      </c>
      <c r="B416" s="1" t="s">
        <v>110</v>
      </c>
      <c r="C416" s="4">
        <v>105</v>
      </c>
      <c r="D416" s="8">
        <v>1.47</v>
      </c>
      <c r="E416" s="4">
        <v>16</v>
      </c>
      <c r="F416" s="8">
        <v>0.53</v>
      </c>
      <c r="G416" s="4">
        <v>89</v>
      </c>
      <c r="H416" s="8">
        <v>2.1800000000000002</v>
      </c>
      <c r="I416" s="4">
        <v>0</v>
      </c>
    </row>
    <row r="417" spans="1:9" x14ac:dyDescent="0.2">
      <c r="A417" s="2">
        <v>19</v>
      </c>
      <c r="B417" s="1" t="s">
        <v>97</v>
      </c>
      <c r="C417" s="4">
        <v>104</v>
      </c>
      <c r="D417" s="8">
        <v>1.46</v>
      </c>
      <c r="E417" s="4">
        <v>42</v>
      </c>
      <c r="F417" s="8">
        <v>1.39</v>
      </c>
      <c r="G417" s="4">
        <v>62</v>
      </c>
      <c r="H417" s="8">
        <v>1.52</v>
      </c>
      <c r="I417" s="4">
        <v>0</v>
      </c>
    </row>
    <row r="418" spans="1:9" x14ac:dyDescent="0.2">
      <c r="A418" s="2">
        <v>20</v>
      </c>
      <c r="B418" s="1" t="s">
        <v>93</v>
      </c>
      <c r="C418" s="4">
        <v>100</v>
      </c>
      <c r="D418" s="8">
        <v>1.4</v>
      </c>
      <c r="E418" s="4">
        <v>8</v>
      </c>
      <c r="F418" s="8">
        <v>0.26</v>
      </c>
      <c r="G418" s="4">
        <v>92</v>
      </c>
      <c r="H418" s="8">
        <v>2.2599999999999998</v>
      </c>
      <c r="I418" s="4">
        <v>0</v>
      </c>
    </row>
    <row r="419" spans="1:9" x14ac:dyDescent="0.2">
      <c r="A419" s="1"/>
      <c r="C419" s="4"/>
      <c r="D419" s="8"/>
      <c r="E419" s="4"/>
      <c r="F419" s="8"/>
      <c r="G419" s="4"/>
      <c r="H419" s="8"/>
      <c r="I419" s="4"/>
    </row>
    <row r="420" spans="1:9" x14ac:dyDescent="0.2">
      <c r="A420" s="1" t="s">
        <v>19</v>
      </c>
      <c r="C420" s="4"/>
      <c r="D420" s="8"/>
      <c r="E420" s="4"/>
      <c r="F420" s="8"/>
      <c r="G420" s="4"/>
      <c r="H420" s="8"/>
      <c r="I420" s="4"/>
    </row>
    <row r="421" spans="1:9" x14ac:dyDescent="0.2">
      <c r="A421" s="2">
        <v>1</v>
      </c>
      <c r="B421" s="1" t="s">
        <v>103</v>
      </c>
      <c r="C421" s="4">
        <v>552</v>
      </c>
      <c r="D421" s="8">
        <v>10.29</v>
      </c>
      <c r="E421" s="4">
        <v>450</v>
      </c>
      <c r="F421" s="8">
        <v>20.09</v>
      </c>
      <c r="G421" s="4">
        <v>102</v>
      </c>
      <c r="H421" s="8">
        <v>3.28</v>
      </c>
      <c r="I421" s="4">
        <v>0</v>
      </c>
    </row>
    <row r="422" spans="1:9" x14ac:dyDescent="0.2">
      <c r="A422" s="2">
        <v>2</v>
      </c>
      <c r="B422" s="1" t="s">
        <v>100</v>
      </c>
      <c r="C422" s="4">
        <v>520</v>
      </c>
      <c r="D422" s="8">
        <v>9.6999999999999993</v>
      </c>
      <c r="E422" s="4">
        <v>240</v>
      </c>
      <c r="F422" s="8">
        <v>10.71</v>
      </c>
      <c r="G422" s="4">
        <v>279</v>
      </c>
      <c r="H422" s="8">
        <v>8.9700000000000006</v>
      </c>
      <c r="I422" s="4">
        <v>1</v>
      </c>
    </row>
    <row r="423" spans="1:9" x14ac:dyDescent="0.2">
      <c r="A423" s="2">
        <v>3</v>
      </c>
      <c r="B423" s="1" t="s">
        <v>104</v>
      </c>
      <c r="C423" s="4">
        <v>359</v>
      </c>
      <c r="D423" s="8">
        <v>6.69</v>
      </c>
      <c r="E423" s="4">
        <v>271</v>
      </c>
      <c r="F423" s="8">
        <v>12.1</v>
      </c>
      <c r="G423" s="4">
        <v>88</v>
      </c>
      <c r="H423" s="8">
        <v>2.83</v>
      </c>
      <c r="I423" s="4">
        <v>0</v>
      </c>
    </row>
    <row r="424" spans="1:9" x14ac:dyDescent="0.2">
      <c r="A424" s="2">
        <v>4</v>
      </c>
      <c r="B424" s="1" t="s">
        <v>98</v>
      </c>
      <c r="C424" s="4">
        <v>288</v>
      </c>
      <c r="D424" s="8">
        <v>5.37</v>
      </c>
      <c r="E424" s="4">
        <v>145</v>
      </c>
      <c r="F424" s="8">
        <v>6.47</v>
      </c>
      <c r="G424" s="4">
        <v>143</v>
      </c>
      <c r="H424" s="8">
        <v>4.5999999999999996</v>
      </c>
      <c r="I424" s="4">
        <v>0</v>
      </c>
    </row>
    <row r="425" spans="1:9" x14ac:dyDescent="0.2">
      <c r="A425" s="2">
        <v>5</v>
      </c>
      <c r="B425" s="1" t="s">
        <v>96</v>
      </c>
      <c r="C425" s="4">
        <v>260</v>
      </c>
      <c r="D425" s="8">
        <v>4.8499999999999996</v>
      </c>
      <c r="E425" s="4">
        <v>169</v>
      </c>
      <c r="F425" s="8">
        <v>7.54</v>
      </c>
      <c r="G425" s="4">
        <v>91</v>
      </c>
      <c r="H425" s="8">
        <v>2.92</v>
      </c>
      <c r="I425" s="4">
        <v>0</v>
      </c>
    </row>
    <row r="426" spans="1:9" x14ac:dyDescent="0.2">
      <c r="A426" s="2">
        <v>6</v>
      </c>
      <c r="B426" s="1" t="s">
        <v>89</v>
      </c>
      <c r="C426" s="4">
        <v>193</v>
      </c>
      <c r="D426" s="8">
        <v>3.6</v>
      </c>
      <c r="E426" s="4">
        <v>36</v>
      </c>
      <c r="F426" s="8">
        <v>1.61</v>
      </c>
      <c r="G426" s="4">
        <v>157</v>
      </c>
      <c r="H426" s="8">
        <v>5.04</v>
      </c>
      <c r="I426" s="4">
        <v>0</v>
      </c>
    </row>
    <row r="427" spans="1:9" x14ac:dyDescent="0.2">
      <c r="A427" s="2">
        <v>7</v>
      </c>
      <c r="B427" s="1" t="s">
        <v>108</v>
      </c>
      <c r="C427" s="4">
        <v>189</v>
      </c>
      <c r="D427" s="8">
        <v>3.52</v>
      </c>
      <c r="E427" s="4">
        <v>36</v>
      </c>
      <c r="F427" s="8">
        <v>1.61</v>
      </c>
      <c r="G427" s="4">
        <v>153</v>
      </c>
      <c r="H427" s="8">
        <v>4.92</v>
      </c>
      <c r="I427" s="4">
        <v>0</v>
      </c>
    </row>
    <row r="428" spans="1:9" x14ac:dyDescent="0.2">
      <c r="A428" s="2">
        <v>8</v>
      </c>
      <c r="B428" s="1" t="s">
        <v>119</v>
      </c>
      <c r="C428" s="4">
        <v>181</v>
      </c>
      <c r="D428" s="8">
        <v>3.37</v>
      </c>
      <c r="E428" s="4">
        <v>55</v>
      </c>
      <c r="F428" s="8">
        <v>2.46</v>
      </c>
      <c r="G428" s="4">
        <v>126</v>
      </c>
      <c r="H428" s="8">
        <v>4.05</v>
      </c>
      <c r="I428" s="4">
        <v>0</v>
      </c>
    </row>
    <row r="429" spans="1:9" x14ac:dyDescent="0.2">
      <c r="A429" s="2">
        <v>9</v>
      </c>
      <c r="B429" s="1" t="s">
        <v>106</v>
      </c>
      <c r="C429" s="4">
        <v>158</v>
      </c>
      <c r="D429" s="8">
        <v>2.95</v>
      </c>
      <c r="E429" s="4">
        <v>112</v>
      </c>
      <c r="F429" s="8">
        <v>5</v>
      </c>
      <c r="G429" s="4">
        <v>46</v>
      </c>
      <c r="H429" s="8">
        <v>1.48</v>
      </c>
      <c r="I429" s="4">
        <v>0</v>
      </c>
    </row>
    <row r="430" spans="1:9" x14ac:dyDescent="0.2">
      <c r="A430" s="2">
        <v>10</v>
      </c>
      <c r="B430" s="1" t="s">
        <v>88</v>
      </c>
      <c r="C430" s="4">
        <v>156</v>
      </c>
      <c r="D430" s="8">
        <v>2.91</v>
      </c>
      <c r="E430" s="4">
        <v>19</v>
      </c>
      <c r="F430" s="8">
        <v>0.85</v>
      </c>
      <c r="G430" s="4">
        <v>137</v>
      </c>
      <c r="H430" s="8">
        <v>4.4000000000000004</v>
      </c>
      <c r="I430" s="4">
        <v>0</v>
      </c>
    </row>
    <row r="431" spans="1:9" x14ac:dyDescent="0.2">
      <c r="A431" s="2">
        <v>11</v>
      </c>
      <c r="B431" s="1" t="s">
        <v>101</v>
      </c>
      <c r="C431" s="4">
        <v>152</v>
      </c>
      <c r="D431" s="8">
        <v>2.83</v>
      </c>
      <c r="E431" s="4">
        <v>87</v>
      </c>
      <c r="F431" s="8">
        <v>3.88</v>
      </c>
      <c r="G431" s="4">
        <v>65</v>
      </c>
      <c r="H431" s="8">
        <v>2.09</v>
      </c>
      <c r="I431" s="4">
        <v>0</v>
      </c>
    </row>
    <row r="432" spans="1:9" x14ac:dyDescent="0.2">
      <c r="A432" s="2">
        <v>12</v>
      </c>
      <c r="B432" s="1" t="s">
        <v>90</v>
      </c>
      <c r="C432" s="4">
        <v>146</v>
      </c>
      <c r="D432" s="8">
        <v>2.72</v>
      </c>
      <c r="E432" s="4">
        <v>19</v>
      </c>
      <c r="F432" s="8">
        <v>0.85</v>
      </c>
      <c r="G432" s="4">
        <v>127</v>
      </c>
      <c r="H432" s="8">
        <v>4.08</v>
      </c>
      <c r="I432" s="4">
        <v>0</v>
      </c>
    </row>
    <row r="433" spans="1:9" x14ac:dyDescent="0.2">
      <c r="A433" s="2">
        <v>13</v>
      </c>
      <c r="B433" s="1" t="s">
        <v>95</v>
      </c>
      <c r="C433" s="4">
        <v>138</v>
      </c>
      <c r="D433" s="8">
        <v>2.57</v>
      </c>
      <c r="E433" s="4">
        <v>79</v>
      </c>
      <c r="F433" s="8">
        <v>3.53</v>
      </c>
      <c r="G433" s="4">
        <v>59</v>
      </c>
      <c r="H433" s="8">
        <v>1.9</v>
      </c>
      <c r="I433" s="4">
        <v>0</v>
      </c>
    </row>
    <row r="434" spans="1:9" x14ac:dyDescent="0.2">
      <c r="A434" s="2">
        <v>14</v>
      </c>
      <c r="B434" s="1" t="s">
        <v>117</v>
      </c>
      <c r="C434" s="4">
        <v>123</v>
      </c>
      <c r="D434" s="8">
        <v>2.29</v>
      </c>
      <c r="E434" s="4">
        <v>46</v>
      </c>
      <c r="F434" s="8">
        <v>2.0499999999999998</v>
      </c>
      <c r="G434" s="4">
        <v>77</v>
      </c>
      <c r="H434" s="8">
        <v>2.4700000000000002</v>
      </c>
      <c r="I434" s="4">
        <v>0</v>
      </c>
    </row>
    <row r="435" spans="1:9" x14ac:dyDescent="0.2">
      <c r="A435" s="2">
        <v>14</v>
      </c>
      <c r="B435" s="1" t="s">
        <v>110</v>
      </c>
      <c r="C435" s="4">
        <v>123</v>
      </c>
      <c r="D435" s="8">
        <v>2.29</v>
      </c>
      <c r="E435" s="4">
        <v>16</v>
      </c>
      <c r="F435" s="8">
        <v>0.71</v>
      </c>
      <c r="G435" s="4">
        <v>107</v>
      </c>
      <c r="H435" s="8">
        <v>3.44</v>
      </c>
      <c r="I435" s="4">
        <v>0</v>
      </c>
    </row>
    <row r="436" spans="1:9" x14ac:dyDescent="0.2">
      <c r="A436" s="2">
        <v>16</v>
      </c>
      <c r="B436" s="1" t="s">
        <v>94</v>
      </c>
      <c r="C436" s="4">
        <v>117</v>
      </c>
      <c r="D436" s="8">
        <v>2.1800000000000002</v>
      </c>
      <c r="E436" s="4">
        <v>14</v>
      </c>
      <c r="F436" s="8">
        <v>0.63</v>
      </c>
      <c r="G436" s="4">
        <v>103</v>
      </c>
      <c r="H436" s="8">
        <v>3.31</v>
      </c>
      <c r="I436" s="4">
        <v>0</v>
      </c>
    </row>
    <row r="437" spans="1:9" x14ac:dyDescent="0.2">
      <c r="A437" s="2">
        <v>17</v>
      </c>
      <c r="B437" s="1" t="s">
        <v>105</v>
      </c>
      <c r="C437" s="4">
        <v>104</v>
      </c>
      <c r="D437" s="8">
        <v>1.94</v>
      </c>
      <c r="E437" s="4">
        <v>62</v>
      </c>
      <c r="F437" s="8">
        <v>2.77</v>
      </c>
      <c r="G437" s="4">
        <v>40</v>
      </c>
      <c r="H437" s="8">
        <v>1.29</v>
      </c>
      <c r="I437" s="4">
        <v>2</v>
      </c>
    </row>
    <row r="438" spans="1:9" x14ac:dyDescent="0.2">
      <c r="A438" s="2">
        <v>18</v>
      </c>
      <c r="B438" s="1" t="s">
        <v>102</v>
      </c>
      <c r="C438" s="4">
        <v>91</v>
      </c>
      <c r="D438" s="8">
        <v>1.7</v>
      </c>
      <c r="E438" s="4">
        <v>23</v>
      </c>
      <c r="F438" s="8">
        <v>1.03</v>
      </c>
      <c r="G438" s="4">
        <v>66</v>
      </c>
      <c r="H438" s="8">
        <v>2.12</v>
      </c>
      <c r="I438" s="4">
        <v>0</v>
      </c>
    </row>
    <row r="439" spans="1:9" x14ac:dyDescent="0.2">
      <c r="A439" s="2">
        <v>19</v>
      </c>
      <c r="B439" s="1" t="s">
        <v>99</v>
      </c>
      <c r="C439" s="4">
        <v>83</v>
      </c>
      <c r="D439" s="8">
        <v>1.55</v>
      </c>
      <c r="E439" s="4">
        <v>13</v>
      </c>
      <c r="F439" s="8">
        <v>0.57999999999999996</v>
      </c>
      <c r="G439" s="4">
        <v>70</v>
      </c>
      <c r="H439" s="8">
        <v>2.25</v>
      </c>
      <c r="I439" s="4">
        <v>0</v>
      </c>
    </row>
    <row r="440" spans="1:9" x14ac:dyDescent="0.2">
      <c r="A440" s="2">
        <v>20</v>
      </c>
      <c r="B440" s="1" t="s">
        <v>97</v>
      </c>
      <c r="C440" s="4">
        <v>77</v>
      </c>
      <c r="D440" s="8">
        <v>1.44</v>
      </c>
      <c r="E440" s="4">
        <v>30</v>
      </c>
      <c r="F440" s="8">
        <v>1.34</v>
      </c>
      <c r="G440" s="4">
        <v>47</v>
      </c>
      <c r="H440" s="8">
        <v>1.51</v>
      </c>
      <c r="I440" s="4">
        <v>0</v>
      </c>
    </row>
    <row r="441" spans="1:9" x14ac:dyDescent="0.2">
      <c r="A441" s="1"/>
      <c r="C441" s="4"/>
      <c r="D441" s="8"/>
      <c r="E441" s="4"/>
      <c r="F441" s="8"/>
      <c r="G441" s="4"/>
      <c r="H441" s="8"/>
      <c r="I441" s="4"/>
    </row>
    <row r="442" spans="1:9" x14ac:dyDescent="0.2">
      <c r="A442" s="1" t="s">
        <v>20</v>
      </c>
      <c r="C442" s="4"/>
      <c r="D442" s="8"/>
      <c r="E442" s="4"/>
      <c r="F442" s="8"/>
      <c r="G442" s="4"/>
      <c r="H442" s="8"/>
      <c r="I442" s="4"/>
    </row>
    <row r="443" spans="1:9" x14ac:dyDescent="0.2">
      <c r="A443" s="2">
        <v>1</v>
      </c>
      <c r="B443" s="1" t="s">
        <v>103</v>
      </c>
      <c r="C443" s="4">
        <v>1111</v>
      </c>
      <c r="D443" s="8">
        <v>10.67</v>
      </c>
      <c r="E443" s="4">
        <v>889</v>
      </c>
      <c r="F443" s="8">
        <v>21.98</v>
      </c>
      <c r="G443" s="4">
        <v>222</v>
      </c>
      <c r="H443" s="8">
        <v>3.5</v>
      </c>
      <c r="I443" s="4">
        <v>0</v>
      </c>
    </row>
    <row r="444" spans="1:9" x14ac:dyDescent="0.2">
      <c r="A444" s="2">
        <v>2</v>
      </c>
      <c r="B444" s="1" t="s">
        <v>100</v>
      </c>
      <c r="C444" s="4">
        <v>1090</v>
      </c>
      <c r="D444" s="8">
        <v>10.46</v>
      </c>
      <c r="E444" s="4">
        <v>307</v>
      </c>
      <c r="F444" s="8">
        <v>7.59</v>
      </c>
      <c r="G444" s="4">
        <v>780</v>
      </c>
      <c r="H444" s="8">
        <v>12.29</v>
      </c>
      <c r="I444" s="4">
        <v>2</v>
      </c>
    </row>
    <row r="445" spans="1:9" x14ac:dyDescent="0.2">
      <c r="A445" s="2">
        <v>3</v>
      </c>
      <c r="B445" s="1" t="s">
        <v>104</v>
      </c>
      <c r="C445" s="4">
        <v>856</v>
      </c>
      <c r="D445" s="8">
        <v>8.2200000000000006</v>
      </c>
      <c r="E445" s="4">
        <v>635</v>
      </c>
      <c r="F445" s="8">
        <v>15.7</v>
      </c>
      <c r="G445" s="4">
        <v>221</v>
      </c>
      <c r="H445" s="8">
        <v>3.48</v>
      </c>
      <c r="I445" s="4">
        <v>0</v>
      </c>
    </row>
    <row r="446" spans="1:9" x14ac:dyDescent="0.2">
      <c r="A446" s="2">
        <v>4</v>
      </c>
      <c r="B446" s="1" t="s">
        <v>89</v>
      </c>
      <c r="C446" s="4">
        <v>514</v>
      </c>
      <c r="D446" s="8">
        <v>4.93</v>
      </c>
      <c r="E446" s="4">
        <v>82</v>
      </c>
      <c r="F446" s="8">
        <v>2.0299999999999998</v>
      </c>
      <c r="G446" s="4">
        <v>432</v>
      </c>
      <c r="H446" s="8">
        <v>6.81</v>
      </c>
      <c r="I446" s="4">
        <v>0</v>
      </c>
    </row>
    <row r="447" spans="1:9" x14ac:dyDescent="0.2">
      <c r="A447" s="2">
        <v>5</v>
      </c>
      <c r="B447" s="1" t="s">
        <v>98</v>
      </c>
      <c r="C447" s="4">
        <v>512</v>
      </c>
      <c r="D447" s="8">
        <v>4.92</v>
      </c>
      <c r="E447" s="4">
        <v>237</v>
      </c>
      <c r="F447" s="8">
        <v>5.86</v>
      </c>
      <c r="G447" s="4">
        <v>275</v>
      </c>
      <c r="H447" s="8">
        <v>4.33</v>
      </c>
      <c r="I447" s="4">
        <v>0</v>
      </c>
    </row>
    <row r="448" spans="1:9" x14ac:dyDescent="0.2">
      <c r="A448" s="2">
        <v>6</v>
      </c>
      <c r="B448" s="1" t="s">
        <v>106</v>
      </c>
      <c r="C448" s="4">
        <v>461</v>
      </c>
      <c r="D448" s="8">
        <v>4.43</v>
      </c>
      <c r="E448" s="4">
        <v>387</v>
      </c>
      <c r="F448" s="8">
        <v>9.57</v>
      </c>
      <c r="G448" s="4">
        <v>74</v>
      </c>
      <c r="H448" s="8">
        <v>1.17</v>
      </c>
      <c r="I448" s="4">
        <v>0</v>
      </c>
    </row>
    <row r="449" spans="1:9" x14ac:dyDescent="0.2">
      <c r="A449" s="2">
        <v>7</v>
      </c>
      <c r="B449" s="1" t="s">
        <v>90</v>
      </c>
      <c r="C449" s="4">
        <v>417</v>
      </c>
      <c r="D449" s="8">
        <v>4</v>
      </c>
      <c r="E449" s="4">
        <v>31</v>
      </c>
      <c r="F449" s="8">
        <v>0.77</v>
      </c>
      <c r="G449" s="4">
        <v>386</v>
      </c>
      <c r="H449" s="8">
        <v>6.08</v>
      </c>
      <c r="I449" s="4">
        <v>0</v>
      </c>
    </row>
    <row r="450" spans="1:9" x14ac:dyDescent="0.2">
      <c r="A450" s="2">
        <v>8</v>
      </c>
      <c r="B450" s="1" t="s">
        <v>88</v>
      </c>
      <c r="C450" s="4">
        <v>396</v>
      </c>
      <c r="D450" s="8">
        <v>3.8</v>
      </c>
      <c r="E450" s="4">
        <v>39</v>
      </c>
      <c r="F450" s="8">
        <v>0.96</v>
      </c>
      <c r="G450" s="4">
        <v>357</v>
      </c>
      <c r="H450" s="8">
        <v>5.63</v>
      </c>
      <c r="I450" s="4">
        <v>0</v>
      </c>
    </row>
    <row r="451" spans="1:9" x14ac:dyDescent="0.2">
      <c r="A451" s="2">
        <v>9</v>
      </c>
      <c r="B451" s="1" t="s">
        <v>101</v>
      </c>
      <c r="C451" s="4">
        <v>378</v>
      </c>
      <c r="D451" s="8">
        <v>3.63</v>
      </c>
      <c r="E451" s="4">
        <v>184</v>
      </c>
      <c r="F451" s="8">
        <v>4.55</v>
      </c>
      <c r="G451" s="4">
        <v>193</v>
      </c>
      <c r="H451" s="8">
        <v>3.04</v>
      </c>
      <c r="I451" s="4">
        <v>1</v>
      </c>
    </row>
    <row r="452" spans="1:9" x14ac:dyDescent="0.2">
      <c r="A452" s="2">
        <v>10</v>
      </c>
      <c r="B452" s="1" t="s">
        <v>96</v>
      </c>
      <c r="C452" s="4">
        <v>367</v>
      </c>
      <c r="D452" s="8">
        <v>3.52</v>
      </c>
      <c r="E452" s="4">
        <v>220</v>
      </c>
      <c r="F452" s="8">
        <v>5.44</v>
      </c>
      <c r="G452" s="4">
        <v>147</v>
      </c>
      <c r="H452" s="8">
        <v>2.3199999999999998</v>
      </c>
      <c r="I452" s="4">
        <v>0</v>
      </c>
    </row>
    <row r="453" spans="1:9" x14ac:dyDescent="0.2">
      <c r="A453" s="2">
        <v>11</v>
      </c>
      <c r="B453" s="1" t="s">
        <v>105</v>
      </c>
      <c r="C453" s="4">
        <v>325</v>
      </c>
      <c r="D453" s="8">
        <v>3.12</v>
      </c>
      <c r="E453" s="4">
        <v>213</v>
      </c>
      <c r="F453" s="8">
        <v>5.27</v>
      </c>
      <c r="G453" s="4">
        <v>107</v>
      </c>
      <c r="H453" s="8">
        <v>1.69</v>
      </c>
      <c r="I453" s="4">
        <v>1</v>
      </c>
    </row>
    <row r="454" spans="1:9" x14ac:dyDescent="0.2">
      <c r="A454" s="2">
        <v>12</v>
      </c>
      <c r="B454" s="1" t="s">
        <v>108</v>
      </c>
      <c r="C454" s="4">
        <v>270</v>
      </c>
      <c r="D454" s="8">
        <v>2.59</v>
      </c>
      <c r="E454" s="4">
        <v>38</v>
      </c>
      <c r="F454" s="8">
        <v>0.94</v>
      </c>
      <c r="G454" s="4">
        <v>232</v>
      </c>
      <c r="H454" s="8">
        <v>3.66</v>
      </c>
      <c r="I454" s="4">
        <v>0</v>
      </c>
    </row>
    <row r="455" spans="1:9" x14ac:dyDescent="0.2">
      <c r="A455" s="2">
        <v>13</v>
      </c>
      <c r="B455" s="1" t="s">
        <v>99</v>
      </c>
      <c r="C455" s="4">
        <v>229</v>
      </c>
      <c r="D455" s="8">
        <v>2.2000000000000002</v>
      </c>
      <c r="E455" s="4">
        <v>19</v>
      </c>
      <c r="F455" s="8">
        <v>0.47</v>
      </c>
      <c r="G455" s="4">
        <v>210</v>
      </c>
      <c r="H455" s="8">
        <v>3.31</v>
      </c>
      <c r="I455" s="4">
        <v>0</v>
      </c>
    </row>
    <row r="456" spans="1:9" x14ac:dyDescent="0.2">
      <c r="A456" s="2">
        <v>14</v>
      </c>
      <c r="B456" s="1" t="s">
        <v>102</v>
      </c>
      <c r="C456" s="4">
        <v>218</v>
      </c>
      <c r="D456" s="8">
        <v>2.09</v>
      </c>
      <c r="E456" s="4">
        <v>59</v>
      </c>
      <c r="F456" s="8">
        <v>1.46</v>
      </c>
      <c r="G456" s="4">
        <v>158</v>
      </c>
      <c r="H456" s="8">
        <v>2.4900000000000002</v>
      </c>
      <c r="I456" s="4">
        <v>0</v>
      </c>
    </row>
    <row r="457" spans="1:9" x14ac:dyDescent="0.2">
      <c r="A457" s="2">
        <v>15</v>
      </c>
      <c r="B457" s="1" t="s">
        <v>97</v>
      </c>
      <c r="C457" s="4">
        <v>196</v>
      </c>
      <c r="D457" s="8">
        <v>1.88</v>
      </c>
      <c r="E457" s="4">
        <v>81</v>
      </c>
      <c r="F457" s="8">
        <v>2</v>
      </c>
      <c r="G457" s="4">
        <v>115</v>
      </c>
      <c r="H457" s="8">
        <v>1.81</v>
      </c>
      <c r="I457" s="4">
        <v>0</v>
      </c>
    </row>
    <row r="458" spans="1:9" x14ac:dyDescent="0.2">
      <c r="A458" s="2">
        <v>16</v>
      </c>
      <c r="B458" s="1" t="s">
        <v>107</v>
      </c>
      <c r="C458" s="4">
        <v>191</v>
      </c>
      <c r="D458" s="8">
        <v>1.83</v>
      </c>
      <c r="E458" s="4">
        <v>7</v>
      </c>
      <c r="F458" s="8">
        <v>0.17</v>
      </c>
      <c r="G458" s="4">
        <v>183</v>
      </c>
      <c r="H458" s="8">
        <v>2.88</v>
      </c>
      <c r="I458" s="4">
        <v>1</v>
      </c>
    </row>
    <row r="459" spans="1:9" x14ac:dyDescent="0.2">
      <c r="A459" s="2">
        <v>17</v>
      </c>
      <c r="B459" s="1" t="s">
        <v>94</v>
      </c>
      <c r="C459" s="4">
        <v>165</v>
      </c>
      <c r="D459" s="8">
        <v>1.58</v>
      </c>
      <c r="E459" s="4">
        <v>9</v>
      </c>
      <c r="F459" s="8">
        <v>0.22</v>
      </c>
      <c r="G459" s="4">
        <v>156</v>
      </c>
      <c r="H459" s="8">
        <v>2.46</v>
      </c>
      <c r="I459" s="4">
        <v>0</v>
      </c>
    </row>
    <row r="460" spans="1:9" x14ac:dyDescent="0.2">
      <c r="A460" s="2">
        <v>18</v>
      </c>
      <c r="B460" s="1" t="s">
        <v>110</v>
      </c>
      <c r="C460" s="4">
        <v>158</v>
      </c>
      <c r="D460" s="8">
        <v>1.52</v>
      </c>
      <c r="E460" s="4">
        <v>14</v>
      </c>
      <c r="F460" s="8">
        <v>0.35</v>
      </c>
      <c r="G460" s="4">
        <v>144</v>
      </c>
      <c r="H460" s="8">
        <v>2.27</v>
      </c>
      <c r="I460" s="4">
        <v>0</v>
      </c>
    </row>
    <row r="461" spans="1:9" x14ac:dyDescent="0.2">
      <c r="A461" s="2">
        <v>18</v>
      </c>
      <c r="B461" s="1" t="s">
        <v>93</v>
      </c>
      <c r="C461" s="4">
        <v>158</v>
      </c>
      <c r="D461" s="8">
        <v>1.52</v>
      </c>
      <c r="E461" s="4">
        <v>9</v>
      </c>
      <c r="F461" s="8">
        <v>0.22</v>
      </c>
      <c r="G461" s="4">
        <v>149</v>
      </c>
      <c r="H461" s="8">
        <v>2.35</v>
      </c>
      <c r="I461" s="4">
        <v>0</v>
      </c>
    </row>
    <row r="462" spans="1:9" x14ac:dyDescent="0.2">
      <c r="A462" s="2">
        <v>20</v>
      </c>
      <c r="B462" s="1" t="s">
        <v>95</v>
      </c>
      <c r="C462" s="4">
        <v>150</v>
      </c>
      <c r="D462" s="8">
        <v>1.44</v>
      </c>
      <c r="E462" s="4">
        <v>78</v>
      </c>
      <c r="F462" s="8">
        <v>1.93</v>
      </c>
      <c r="G462" s="4">
        <v>72</v>
      </c>
      <c r="H462" s="8">
        <v>1.1299999999999999</v>
      </c>
      <c r="I462" s="4">
        <v>0</v>
      </c>
    </row>
    <row r="463" spans="1:9" x14ac:dyDescent="0.2">
      <c r="A463" s="1"/>
      <c r="C463" s="4"/>
      <c r="D463" s="8"/>
      <c r="E463" s="4"/>
      <c r="F463" s="8"/>
      <c r="G463" s="4"/>
      <c r="H463" s="8"/>
      <c r="I463" s="4"/>
    </row>
    <row r="464" spans="1:9" x14ac:dyDescent="0.2">
      <c r="A464" s="1" t="s">
        <v>21</v>
      </c>
      <c r="C464" s="4"/>
      <c r="D464" s="8"/>
      <c r="E464" s="4"/>
      <c r="F464" s="8"/>
      <c r="G464" s="4"/>
      <c r="H464" s="8"/>
      <c r="I464" s="4"/>
    </row>
    <row r="465" spans="1:9" x14ac:dyDescent="0.2">
      <c r="A465" s="2">
        <v>1</v>
      </c>
      <c r="B465" s="1" t="s">
        <v>100</v>
      </c>
      <c r="C465" s="4">
        <v>1620</v>
      </c>
      <c r="D465" s="8">
        <v>12.77</v>
      </c>
      <c r="E465" s="4">
        <v>371</v>
      </c>
      <c r="F465" s="8">
        <v>7.82</v>
      </c>
      <c r="G465" s="4">
        <v>1247</v>
      </c>
      <c r="H465" s="8">
        <v>15.76</v>
      </c>
      <c r="I465" s="4">
        <v>0</v>
      </c>
    </row>
    <row r="466" spans="1:9" x14ac:dyDescent="0.2">
      <c r="A466" s="2">
        <v>2</v>
      </c>
      <c r="B466" s="1" t="s">
        <v>104</v>
      </c>
      <c r="C466" s="4">
        <v>1069</v>
      </c>
      <c r="D466" s="8">
        <v>8.43</v>
      </c>
      <c r="E466" s="4">
        <v>792</v>
      </c>
      <c r="F466" s="8">
        <v>16.7</v>
      </c>
      <c r="G466" s="4">
        <v>277</v>
      </c>
      <c r="H466" s="8">
        <v>3.5</v>
      </c>
      <c r="I466" s="4">
        <v>0</v>
      </c>
    </row>
    <row r="467" spans="1:9" x14ac:dyDescent="0.2">
      <c r="A467" s="2">
        <v>3</v>
      </c>
      <c r="B467" s="1" t="s">
        <v>103</v>
      </c>
      <c r="C467" s="4">
        <v>1050</v>
      </c>
      <c r="D467" s="8">
        <v>8.2799999999999994</v>
      </c>
      <c r="E467" s="4">
        <v>827</v>
      </c>
      <c r="F467" s="8">
        <v>17.440000000000001</v>
      </c>
      <c r="G467" s="4">
        <v>223</v>
      </c>
      <c r="H467" s="8">
        <v>2.82</v>
      </c>
      <c r="I467" s="4">
        <v>0</v>
      </c>
    </row>
    <row r="468" spans="1:9" x14ac:dyDescent="0.2">
      <c r="A468" s="2">
        <v>4</v>
      </c>
      <c r="B468" s="1" t="s">
        <v>89</v>
      </c>
      <c r="C468" s="4">
        <v>747</v>
      </c>
      <c r="D468" s="8">
        <v>5.89</v>
      </c>
      <c r="E468" s="4">
        <v>117</v>
      </c>
      <c r="F468" s="8">
        <v>2.4700000000000002</v>
      </c>
      <c r="G468" s="4">
        <v>630</v>
      </c>
      <c r="H468" s="8">
        <v>7.96</v>
      </c>
      <c r="I468" s="4">
        <v>0</v>
      </c>
    </row>
    <row r="469" spans="1:9" x14ac:dyDescent="0.2">
      <c r="A469" s="2">
        <v>5</v>
      </c>
      <c r="B469" s="1" t="s">
        <v>88</v>
      </c>
      <c r="C469" s="4">
        <v>645</v>
      </c>
      <c r="D469" s="8">
        <v>5.09</v>
      </c>
      <c r="E469" s="4">
        <v>74</v>
      </c>
      <c r="F469" s="8">
        <v>1.56</v>
      </c>
      <c r="G469" s="4">
        <v>571</v>
      </c>
      <c r="H469" s="8">
        <v>7.22</v>
      </c>
      <c r="I469" s="4">
        <v>0</v>
      </c>
    </row>
    <row r="470" spans="1:9" x14ac:dyDescent="0.2">
      <c r="A470" s="2">
        <v>6</v>
      </c>
      <c r="B470" s="1" t="s">
        <v>90</v>
      </c>
      <c r="C470" s="4">
        <v>622</v>
      </c>
      <c r="D470" s="8">
        <v>4.9000000000000004</v>
      </c>
      <c r="E470" s="4">
        <v>55</v>
      </c>
      <c r="F470" s="8">
        <v>1.1599999999999999</v>
      </c>
      <c r="G470" s="4">
        <v>567</v>
      </c>
      <c r="H470" s="8">
        <v>7.17</v>
      </c>
      <c r="I470" s="4">
        <v>0</v>
      </c>
    </row>
    <row r="471" spans="1:9" x14ac:dyDescent="0.2">
      <c r="A471" s="2">
        <v>7</v>
      </c>
      <c r="B471" s="1" t="s">
        <v>101</v>
      </c>
      <c r="C471" s="4">
        <v>621</v>
      </c>
      <c r="D471" s="8">
        <v>4.9000000000000004</v>
      </c>
      <c r="E471" s="4">
        <v>241</v>
      </c>
      <c r="F471" s="8">
        <v>5.08</v>
      </c>
      <c r="G471" s="4">
        <v>380</v>
      </c>
      <c r="H471" s="8">
        <v>4.8</v>
      </c>
      <c r="I471" s="4">
        <v>0</v>
      </c>
    </row>
    <row r="472" spans="1:9" x14ac:dyDescent="0.2">
      <c r="A472" s="2">
        <v>8</v>
      </c>
      <c r="B472" s="1" t="s">
        <v>106</v>
      </c>
      <c r="C472" s="4">
        <v>608</v>
      </c>
      <c r="D472" s="8">
        <v>4.79</v>
      </c>
      <c r="E472" s="4">
        <v>496</v>
      </c>
      <c r="F472" s="8">
        <v>10.46</v>
      </c>
      <c r="G472" s="4">
        <v>112</v>
      </c>
      <c r="H472" s="8">
        <v>1.42</v>
      </c>
      <c r="I472" s="4">
        <v>0</v>
      </c>
    </row>
    <row r="473" spans="1:9" x14ac:dyDescent="0.2">
      <c r="A473" s="2">
        <v>9</v>
      </c>
      <c r="B473" s="1" t="s">
        <v>105</v>
      </c>
      <c r="C473" s="4">
        <v>538</v>
      </c>
      <c r="D473" s="8">
        <v>4.24</v>
      </c>
      <c r="E473" s="4">
        <v>342</v>
      </c>
      <c r="F473" s="8">
        <v>7.21</v>
      </c>
      <c r="G473" s="4">
        <v>178</v>
      </c>
      <c r="H473" s="8">
        <v>2.25</v>
      </c>
      <c r="I473" s="4">
        <v>1</v>
      </c>
    </row>
    <row r="474" spans="1:9" x14ac:dyDescent="0.2">
      <c r="A474" s="2">
        <v>10</v>
      </c>
      <c r="B474" s="1" t="s">
        <v>98</v>
      </c>
      <c r="C474" s="4">
        <v>528</v>
      </c>
      <c r="D474" s="8">
        <v>4.16</v>
      </c>
      <c r="E474" s="4">
        <v>249</v>
      </c>
      <c r="F474" s="8">
        <v>5.25</v>
      </c>
      <c r="G474" s="4">
        <v>279</v>
      </c>
      <c r="H474" s="8">
        <v>3.53</v>
      </c>
      <c r="I474" s="4">
        <v>0</v>
      </c>
    </row>
    <row r="475" spans="1:9" x14ac:dyDescent="0.2">
      <c r="A475" s="2">
        <v>11</v>
      </c>
      <c r="B475" s="1" t="s">
        <v>96</v>
      </c>
      <c r="C475" s="4">
        <v>374</v>
      </c>
      <c r="D475" s="8">
        <v>2.95</v>
      </c>
      <c r="E475" s="4">
        <v>225</v>
      </c>
      <c r="F475" s="8">
        <v>4.74</v>
      </c>
      <c r="G475" s="4">
        <v>149</v>
      </c>
      <c r="H475" s="8">
        <v>1.88</v>
      </c>
      <c r="I475" s="4">
        <v>0</v>
      </c>
    </row>
    <row r="476" spans="1:9" x14ac:dyDescent="0.2">
      <c r="A476" s="2">
        <v>12</v>
      </c>
      <c r="B476" s="1" t="s">
        <v>102</v>
      </c>
      <c r="C476" s="4">
        <v>322</v>
      </c>
      <c r="D476" s="8">
        <v>2.54</v>
      </c>
      <c r="E476" s="4">
        <v>89</v>
      </c>
      <c r="F476" s="8">
        <v>1.88</v>
      </c>
      <c r="G476" s="4">
        <v>233</v>
      </c>
      <c r="H476" s="8">
        <v>2.94</v>
      </c>
      <c r="I476" s="4">
        <v>0</v>
      </c>
    </row>
    <row r="477" spans="1:9" x14ac:dyDescent="0.2">
      <c r="A477" s="2">
        <v>13</v>
      </c>
      <c r="B477" s="1" t="s">
        <v>99</v>
      </c>
      <c r="C477" s="4">
        <v>305</v>
      </c>
      <c r="D477" s="8">
        <v>2.4</v>
      </c>
      <c r="E477" s="4">
        <v>27</v>
      </c>
      <c r="F477" s="8">
        <v>0.56999999999999995</v>
      </c>
      <c r="G477" s="4">
        <v>278</v>
      </c>
      <c r="H477" s="8">
        <v>3.51</v>
      </c>
      <c r="I477" s="4">
        <v>0</v>
      </c>
    </row>
    <row r="478" spans="1:9" x14ac:dyDescent="0.2">
      <c r="A478" s="2">
        <v>14</v>
      </c>
      <c r="B478" s="1" t="s">
        <v>97</v>
      </c>
      <c r="C478" s="4">
        <v>253</v>
      </c>
      <c r="D478" s="8">
        <v>1.99</v>
      </c>
      <c r="E478" s="4">
        <v>100</v>
      </c>
      <c r="F478" s="8">
        <v>2.11</v>
      </c>
      <c r="G478" s="4">
        <v>152</v>
      </c>
      <c r="H478" s="8">
        <v>1.92</v>
      </c>
      <c r="I478" s="4">
        <v>1</v>
      </c>
    </row>
    <row r="479" spans="1:9" x14ac:dyDescent="0.2">
      <c r="A479" s="2">
        <v>15</v>
      </c>
      <c r="B479" s="1" t="s">
        <v>107</v>
      </c>
      <c r="C479" s="4">
        <v>252</v>
      </c>
      <c r="D479" s="8">
        <v>1.99</v>
      </c>
      <c r="E479" s="4">
        <v>11</v>
      </c>
      <c r="F479" s="8">
        <v>0.23</v>
      </c>
      <c r="G479" s="4">
        <v>238</v>
      </c>
      <c r="H479" s="8">
        <v>3.01</v>
      </c>
      <c r="I479" s="4">
        <v>3</v>
      </c>
    </row>
    <row r="480" spans="1:9" x14ac:dyDescent="0.2">
      <c r="A480" s="2">
        <v>16</v>
      </c>
      <c r="B480" s="1" t="s">
        <v>123</v>
      </c>
      <c r="C480" s="4">
        <v>208</v>
      </c>
      <c r="D480" s="8">
        <v>1.64</v>
      </c>
      <c r="E480" s="4">
        <v>200</v>
      </c>
      <c r="F480" s="8">
        <v>4.22</v>
      </c>
      <c r="G480" s="4">
        <v>8</v>
      </c>
      <c r="H480" s="8">
        <v>0.1</v>
      </c>
      <c r="I480" s="4">
        <v>0</v>
      </c>
    </row>
    <row r="481" spans="1:9" x14ac:dyDescent="0.2">
      <c r="A481" s="2">
        <v>17</v>
      </c>
      <c r="B481" s="1" t="s">
        <v>95</v>
      </c>
      <c r="C481" s="4">
        <v>207</v>
      </c>
      <c r="D481" s="8">
        <v>1.63</v>
      </c>
      <c r="E481" s="4">
        <v>110</v>
      </c>
      <c r="F481" s="8">
        <v>2.3199999999999998</v>
      </c>
      <c r="G481" s="4">
        <v>97</v>
      </c>
      <c r="H481" s="8">
        <v>1.23</v>
      </c>
      <c r="I481" s="4">
        <v>0</v>
      </c>
    </row>
    <row r="482" spans="1:9" x14ac:dyDescent="0.2">
      <c r="A482" s="2">
        <v>18</v>
      </c>
      <c r="B482" s="1" t="s">
        <v>94</v>
      </c>
      <c r="C482" s="4">
        <v>204</v>
      </c>
      <c r="D482" s="8">
        <v>1.61</v>
      </c>
      <c r="E482" s="4">
        <v>27</v>
      </c>
      <c r="F482" s="8">
        <v>0.56999999999999995</v>
      </c>
      <c r="G482" s="4">
        <v>177</v>
      </c>
      <c r="H482" s="8">
        <v>2.2400000000000002</v>
      </c>
      <c r="I482" s="4">
        <v>0</v>
      </c>
    </row>
    <row r="483" spans="1:9" x14ac:dyDescent="0.2">
      <c r="A483" s="2">
        <v>19</v>
      </c>
      <c r="B483" s="1" t="s">
        <v>91</v>
      </c>
      <c r="C483" s="4">
        <v>183</v>
      </c>
      <c r="D483" s="8">
        <v>1.44</v>
      </c>
      <c r="E483" s="4">
        <v>2</v>
      </c>
      <c r="F483" s="8">
        <v>0.04</v>
      </c>
      <c r="G483" s="4">
        <v>181</v>
      </c>
      <c r="H483" s="8">
        <v>2.29</v>
      </c>
      <c r="I483" s="4">
        <v>0</v>
      </c>
    </row>
    <row r="484" spans="1:9" x14ac:dyDescent="0.2">
      <c r="A484" s="2">
        <v>20</v>
      </c>
      <c r="B484" s="1" t="s">
        <v>92</v>
      </c>
      <c r="C484" s="4">
        <v>179</v>
      </c>
      <c r="D484" s="8">
        <v>1.41</v>
      </c>
      <c r="E484" s="4">
        <v>8</v>
      </c>
      <c r="F484" s="8">
        <v>0.17</v>
      </c>
      <c r="G484" s="4">
        <v>171</v>
      </c>
      <c r="H484" s="8">
        <v>2.16</v>
      </c>
      <c r="I484" s="4">
        <v>0</v>
      </c>
    </row>
    <row r="485" spans="1:9" x14ac:dyDescent="0.2">
      <c r="A485" s="1"/>
      <c r="C485" s="4"/>
      <c r="D485" s="8"/>
      <c r="E485" s="4"/>
      <c r="F485" s="8"/>
      <c r="G485" s="4"/>
      <c r="H485" s="8"/>
      <c r="I485" s="4"/>
    </row>
    <row r="486" spans="1:9" x14ac:dyDescent="0.2">
      <c r="A486" s="1" t="s">
        <v>22</v>
      </c>
      <c r="C486" s="4"/>
      <c r="D486" s="8"/>
      <c r="E486" s="4"/>
      <c r="F486" s="8"/>
      <c r="G486" s="4"/>
      <c r="H486" s="8"/>
      <c r="I486" s="4"/>
    </row>
    <row r="487" spans="1:9" x14ac:dyDescent="0.2">
      <c r="A487" s="2">
        <v>1</v>
      </c>
      <c r="B487" s="1" t="s">
        <v>100</v>
      </c>
      <c r="C487" s="4">
        <v>1370</v>
      </c>
      <c r="D487" s="8">
        <v>9.64</v>
      </c>
      <c r="E487" s="4">
        <v>510</v>
      </c>
      <c r="F487" s="8">
        <v>8.41</v>
      </c>
      <c r="G487" s="4">
        <v>860</v>
      </c>
      <c r="H487" s="8">
        <v>10.57</v>
      </c>
      <c r="I487" s="4">
        <v>0</v>
      </c>
    </row>
    <row r="488" spans="1:9" x14ac:dyDescent="0.2">
      <c r="A488" s="2">
        <v>2</v>
      </c>
      <c r="B488" s="1" t="s">
        <v>103</v>
      </c>
      <c r="C488" s="4">
        <v>1327</v>
      </c>
      <c r="D488" s="8">
        <v>9.34</v>
      </c>
      <c r="E488" s="4">
        <v>1115</v>
      </c>
      <c r="F488" s="8">
        <v>18.39</v>
      </c>
      <c r="G488" s="4">
        <v>211</v>
      </c>
      <c r="H488" s="8">
        <v>2.59</v>
      </c>
      <c r="I488" s="4">
        <v>1</v>
      </c>
    </row>
    <row r="489" spans="1:9" x14ac:dyDescent="0.2">
      <c r="A489" s="2">
        <v>3</v>
      </c>
      <c r="B489" s="1" t="s">
        <v>104</v>
      </c>
      <c r="C489" s="4">
        <v>1096</v>
      </c>
      <c r="D489" s="8">
        <v>7.71</v>
      </c>
      <c r="E489" s="4">
        <v>862</v>
      </c>
      <c r="F489" s="8">
        <v>14.22</v>
      </c>
      <c r="G489" s="4">
        <v>234</v>
      </c>
      <c r="H489" s="8">
        <v>2.88</v>
      </c>
      <c r="I489" s="4">
        <v>0</v>
      </c>
    </row>
    <row r="490" spans="1:9" x14ac:dyDescent="0.2">
      <c r="A490" s="2">
        <v>4</v>
      </c>
      <c r="B490" s="1" t="s">
        <v>89</v>
      </c>
      <c r="C490" s="4">
        <v>929</v>
      </c>
      <c r="D490" s="8">
        <v>6.54</v>
      </c>
      <c r="E490" s="4">
        <v>179</v>
      </c>
      <c r="F490" s="8">
        <v>2.95</v>
      </c>
      <c r="G490" s="4">
        <v>750</v>
      </c>
      <c r="H490" s="8">
        <v>9.2200000000000006</v>
      </c>
      <c r="I490" s="4">
        <v>0</v>
      </c>
    </row>
    <row r="491" spans="1:9" x14ac:dyDescent="0.2">
      <c r="A491" s="2">
        <v>5</v>
      </c>
      <c r="B491" s="1" t="s">
        <v>98</v>
      </c>
      <c r="C491" s="4">
        <v>703</v>
      </c>
      <c r="D491" s="8">
        <v>4.95</v>
      </c>
      <c r="E491" s="4">
        <v>343</v>
      </c>
      <c r="F491" s="8">
        <v>5.66</v>
      </c>
      <c r="G491" s="4">
        <v>359</v>
      </c>
      <c r="H491" s="8">
        <v>4.41</v>
      </c>
      <c r="I491" s="4">
        <v>1</v>
      </c>
    </row>
    <row r="492" spans="1:9" x14ac:dyDescent="0.2">
      <c r="A492" s="2">
        <v>6</v>
      </c>
      <c r="B492" s="1" t="s">
        <v>90</v>
      </c>
      <c r="C492" s="4">
        <v>639</v>
      </c>
      <c r="D492" s="8">
        <v>4.5</v>
      </c>
      <c r="E492" s="4">
        <v>87</v>
      </c>
      <c r="F492" s="8">
        <v>1.43</v>
      </c>
      <c r="G492" s="4">
        <v>551</v>
      </c>
      <c r="H492" s="8">
        <v>6.77</v>
      </c>
      <c r="I492" s="4">
        <v>1</v>
      </c>
    </row>
    <row r="493" spans="1:9" x14ac:dyDescent="0.2">
      <c r="A493" s="2">
        <v>7</v>
      </c>
      <c r="B493" s="1" t="s">
        <v>88</v>
      </c>
      <c r="C493" s="4">
        <v>596</v>
      </c>
      <c r="D493" s="8">
        <v>4.1900000000000004</v>
      </c>
      <c r="E493" s="4">
        <v>71</v>
      </c>
      <c r="F493" s="8">
        <v>1.17</v>
      </c>
      <c r="G493" s="4">
        <v>525</v>
      </c>
      <c r="H493" s="8">
        <v>6.46</v>
      </c>
      <c r="I493" s="4">
        <v>0</v>
      </c>
    </row>
    <row r="494" spans="1:9" x14ac:dyDescent="0.2">
      <c r="A494" s="2">
        <v>8</v>
      </c>
      <c r="B494" s="1" t="s">
        <v>96</v>
      </c>
      <c r="C494" s="4">
        <v>551</v>
      </c>
      <c r="D494" s="8">
        <v>3.88</v>
      </c>
      <c r="E494" s="4">
        <v>400</v>
      </c>
      <c r="F494" s="8">
        <v>6.6</v>
      </c>
      <c r="G494" s="4">
        <v>151</v>
      </c>
      <c r="H494" s="8">
        <v>1.86</v>
      </c>
      <c r="I494" s="4">
        <v>0</v>
      </c>
    </row>
    <row r="495" spans="1:9" x14ac:dyDescent="0.2">
      <c r="A495" s="2">
        <v>9</v>
      </c>
      <c r="B495" s="1" t="s">
        <v>106</v>
      </c>
      <c r="C495" s="4">
        <v>456</v>
      </c>
      <c r="D495" s="8">
        <v>3.21</v>
      </c>
      <c r="E495" s="4">
        <v>369</v>
      </c>
      <c r="F495" s="8">
        <v>6.09</v>
      </c>
      <c r="G495" s="4">
        <v>87</v>
      </c>
      <c r="H495" s="8">
        <v>1.07</v>
      </c>
      <c r="I495" s="4">
        <v>0</v>
      </c>
    </row>
    <row r="496" spans="1:9" x14ac:dyDescent="0.2">
      <c r="A496" s="2">
        <v>10</v>
      </c>
      <c r="B496" s="1" t="s">
        <v>119</v>
      </c>
      <c r="C496" s="4">
        <v>378</v>
      </c>
      <c r="D496" s="8">
        <v>2.66</v>
      </c>
      <c r="E496" s="4">
        <v>114</v>
      </c>
      <c r="F496" s="8">
        <v>1.88</v>
      </c>
      <c r="G496" s="4">
        <v>264</v>
      </c>
      <c r="H496" s="8">
        <v>3.25</v>
      </c>
      <c r="I496" s="4">
        <v>0</v>
      </c>
    </row>
    <row r="497" spans="1:9" x14ac:dyDescent="0.2">
      <c r="A497" s="2">
        <v>11</v>
      </c>
      <c r="B497" s="1" t="s">
        <v>123</v>
      </c>
      <c r="C497" s="4">
        <v>375</v>
      </c>
      <c r="D497" s="8">
        <v>2.64</v>
      </c>
      <c r="E497" s="4">
        <v>365</v>
      </c>
      <c r="F497" s="8">
        <v>6.02</v>
      </c>
      <c r="G497" s="4">
        <v>10</v>
      </c>
      <c r="H497" s="8">
        <v>0.12</v>
      </c>
      <c r="I497" s="4">
        <v>0</v>
      </c>
    </row>
    <row r="498" spans="1:9" x14ac:dyDescent="0.2">
      <c r="A498" s="2">
        <v>12</v>
      </c>
      <c r="B498" s="1" t="s">
        <v>101</v>
      </c>
      <c r="C498" s="4">
        <v>371</v>
      </c>
      <c r="D498" s="8">
        <v>2.61</v>
      </c>
      <c r="E498" s="4">
        <v>196</v>
      </c>
      <c r="F498" s="8">
        <v>3.23</v>
      </c>
      <c r="G498" s="4">
        <v>175</v>
      </c>
      <c r="H498" s="8">
        <v>2.15</v>
      </c>
      <c r="I498" s="4">
        <v>0</v>
      </c>
    </row>
    <row r="499" spans="1:9" x14ac:dyDescent="0.2">
      <c r="A499" s="2">
        <v>13</v>
      </c>
      <c r="B499" s="1" t="s">
        <v>97</v>
      </c>
      <c r="C499" s="4">
        <v>339</v>
      </c>
      <c r="D499" s="8">
        <v>2.39</v>
      </c>
      <c r="E499" s="4">
        <v>139</v>
      </c>
      <c r="F499" s="8">
        <v>2.29</v>
      </c>
      <c r="G499" s="4">
        <v>200</v>
      </c>
      <c r="H499" s="8">
        <v>2.46</v>
      </c>
      <c r="I499" s="4">
        <v>0</v>
      </c>
    </row>
    <row r="500" spans="1:9" x14ac:dyDescent="0.2">
      <c r="A500" s="2">
        <v>14</v>
      </c>
      <c r="B500" s="1" t="s">
        <v>105</v>
      </c>
      <c r="C500" s="4">
        <v>282</v>
      </c>
      <c r="D500" s="8">
        <v>1.98</v>
      </c>
      <c r="E500" s="4">
        <v>193</v>
      </c>
      <c r="F500" s="8">
        <v>3.18</v>
      </c>
      <c r="G500" s="4">
        <v>88</v>
      </c>
      <c r="H500" s="8">
        <v>1.08</v>
      </c>
      <c r="I500" s="4">
        <v>0</v>
      </c>
    </row>
    <row r="501" spans="1:9" x14ac:dyDescent="0.2">
      <c r="A501" s="2">
        <v>15</v>
      </c>
      <c r="B501" s="1" t="s">
        <v>94</v>
      </c>
      <c r="C501" s="4">
        <v>254</v>
      </c>
      <c r="D501" s="8">
        <v>1.79</v>
      </c>
      <c r="E501" s="4">
        <v>37</v>
      </c>
      <c r="F501" s="8">
        <v>0.61</v>
      </c>
      <c r="G501" s="4">
        <v>217</v>
      </c>
      <c r="H501" s="8">
        <v>2.67</v>
      </c>
      <c r="I501" s="4">
        <v>0</v>
      </c>
    </row>
    <row r="502" spans="1:9" x14ac:dyDescent="0.2">
      <c r="A502" s="2">
        <v>16</v>
      </c>
      <c r="B502" s="1" t="s">
        <v>110</v>
      </c>
      <c r="C502" s="4">
        <v>250</v>
      </c>
      <c r="D502" s="8">
        <v>1.76</v>
      </c>
      <c r="E502" s="4">
        <v>51</v>
      </c>
      <c r="F502" s="8">
        <v>0.84</v>
      </c>
      <c r="G502" s="4">
        <v>199</v>
      </c>
      <c r="H502" s="8">
        <v>2.4500000000000002</v>
      </c>
      <c r="I502" s="4">
        <v>0</v>
      </c>
    </row>
    <row r="503" spans="1:9" x14ac:dyDescent="0.2">
      <c r="A503" s="2">
        <v>17</v>
      </c>
      <c r="B503" s="1" t="s">
        <v>95</v>
      </c>
      <c r="C503" s="4">
        <v>247</v>
      </c>
      <c r="D503" s="8">
        <v>1.74</v>
      </c>
      <c r="E503" s="4">
        <v>107</v>
      </c>
      <c r="F503" s="8">
        <v>1.76</v>
      </c>
      <c r="G503" s="4">
        <v>140</v>
      </c>
      <c r="H503" s="8">
        <v>1.72</v>
      </c>
      <c r="I503" s="4">
        <v>0</v>
      </c>
    </row>
    <row r="504" spans="1:9" x14ac:dyDescent="0.2">
      <c r="A504" s="2">
        <v>18</v>
      </c>
      <c r="B504" s="1" t="s">
        <v>99</v>
      </c>
      <c r="C504" s="4">
        <v>227</v>
      </c>
      <c r="D504" s="8">
        <v>1.6</v>
      </c>
      <c r="E504" s="4">
        <v>21</v>
      </c>
      <c r="F504" s="8">
        <v>0.35</v>
      </c>
      <c r="G504" s="4">
        <v>206</v>
      </c>
      <c r="H504" s="8">
        <v>2.5299999999999998</v>
      </c>
      <c r="I504" s="4">
        <v>0</v>
      </c>
    </row>
    <row r="505" spans="1:9" x14ac:dyDescent="0.2">
      <c r="A505" s="2">
        <v>19</v>
      </c>
      <c r="B505" s="1" t="s">
        <v>116</v>
      </c>
      <c r="C505" s="4">
        <v>220</v>
      </c>
      <c r="D505" s="8">
        <v>1.55</v>
      </c>
      <c r="E505" s="4">
        <v>118</v>
      </c>
      <c r="F505" s="8">
        <v>1.95</v>
      </c>
      <c r="G505" s="4">
        <v>102</v>
      </c>
      <c r="H505" s="8">
        <v>1.25</v>
      </c>
      <c r="I505" s="4">
        <v>0</v>
      </c>
    </row>
    <row r="506" spans="1:9" x14ac:dyDescent="0.2">
      <c r="A506" s="2">
        <v>20</v>
      </c>
      <c r="B506" s="1" t="s">
        <v>93</v>
      </c>
      <c r="C506" s="4">
        <v>216</v>
      </c>
      <c r="D506" s="8">
        <v>1.52</v>
      </c>
      <c r="E506" s="4">
        <v>18</v>
      </c>
      <c r="F506" s="8">
        <v>0.3</v>
      </c>
      <c r="G506" s="4">
        <v>198</v>
      </c>
      <c r="H506" s="8">
        <v>2.4300000000000002</v>
      </c>
      <c r="I506" s="4">
        <v>0</v>
      </c>
    </row>
    <row r="507" spans="1:9" x14ac:dyDescent="0.2">
      <c r="A507" s="1"/>
      <c r="C507" s="4"/>
      <c r="D507" s="8"/>
      <c r="E507" s="4"/>
      <c r="F507" s="8"/>
      <c r="G507" s="4"/>
      <c r="H507" s="8"/>
      <c r="I507" s="4"/>
    </row>
    <row r="508" spans="1:9" x14ac:dyDescent="0.2">
      <c r="A508" s="1" t="s">
        <v>23</v>
      </c>
      <c r="C508" s="4"/>
      <c r="D508" s="8"/>
      <c r="E508" s="4"/>
      <c r="F508" s="8"/>
      <c r="G508" s="4"/>
      <c r="H508" s="8"/>
      <c r="I508" s="4"/>
    </row>
    <row r="509" spans="1:9" x14ac:dyDescent="0.2">
      <c r="A509" s="2">
        <v>1</v>
      </c>
      <c r="B509" s="1" t="s">
        <v>100</v>
      </c>
      <c r="C509" s="4">
        <v>1116</v>
      </c>
      <c r="D509" s="8">
        <v>11.06</v>
      </c>
      <c r="E509" s="4">
        <v>477</v>
      </c>
      <c r="F509" s="8">
        <v>10.99</v>
      </c>
      <c r="G509" s="4">
        <v>637</v>
      </c>
      <c r="H509" s="8">
        <v>11.12</v>
      </c>
      <c r="I509" s="4">
        <v>2</v>
      </c>
    </row>
    <row r="510" spans="1:9" x14ac:dyDescent="0.2">
      <c r="A510" s="2">
        <v>2</v>
      </c>
      <c r="B510" s="1" t="s">
        <v>103</v>
      </c>
      <c r="C510" s="4">
        <v>1049</v>
      </c>
      <c r="D510" s="8">
        <v>10.39</v>
      </c>
      <c r="E510" s="4">
        <v>876</v>
      </c>
      <c r="F510" s="8">
        <v>20.190000000000001</v>
      </c>
      <c r="G510" s="4">
        <v>173</v>
      </c>
      <c r="H510" s="8">
        <v>3.02</v>
      </c>
      <c r="I510" s="4">
        <v>0</v>
      </c>
    </row>
    <row r="511" spans="1:9" x14ac:dyDescent="0.2">
      <c r="A511" s="2">
        <v>3</v>
      </c>
      <c r="B511" s="1" t="s">
        <v>104</v>
      </c>
      <c r="C511" s="4">
        <v>817</v>
      </c>
      <c r="D511" s="8">
        <v>8.09</v>
      </c>
      <c r="E511" s="4">
        <v>643</v>
      </c>
      <c r="F511" s="8">
        <v>14.82</v>
      </c>
      <c r="G511" s="4">
        <v>174</v>
      </c>
      <c r="H511" s="8">
        <v>3.04</v>
      </c>
      <c r="I511" s="4">
        <v>0</v>
      </c>
    </row>
    <row r="512" spans="1:9" x14ac:dyDescent="0.2">
      <c r="A512" s="2">
        <v>4</v>
      </c>
      <c r="B512" s="1" t="s">
        <v>98</v>
      </c>
      <c r="C512" s="4">
        <v>519</v>
      </c>
      <c r="D512" s="8">
        <v>5.14</v>
      </c>
      <c r="E512" s="4">
        <v>233</v>
      </c>
      <c r="F512" s="8">
        <v>5.37</v>
      </c>
      <c r="G512" s="4">
        <v>286</v>
      </c>
      <c r="H512" s="8">
        <v>4.99</v>
      </c>
      <c r="I512" s="4">
        <v>0</v>
      </c>
    </row>
    <row r="513" spans="1:9" x14ac:dyDescent="0.2">
      <c r="A513" s="2">
        <v>5</v>
      </c>
      <c r="B513" s="1" t="s">
        <v>119</v>
      </c>
      <c r="C513" s="4">
        <v>485</v>
      </c>
      <c r="D513" s="8">
        <v>4.8</v>
      </c>
      <c r="E513" s="4">
        <v>174</v>
      </c>
      <c r="F513" s="8">
        <v>4.01</v>
      </c>
      <c r="G513" s="4">
        <v>311</v>
      </c>
      <c r="H513" s="8">
        <v>5.43</v>
      </c>
      <c r="I513" s="4">
        <v>0</v>
      </c>
    </row>
    <row r="514" spans="1:9" x14ac:dyDescent="0.2">
      <c r="A514" s="2">
        <v>6</v>
      </c>
      <c r="B514" s="1" t="s">
        <v>89</v>
      </c>
      <c r="C514" s="4">
        <v>423</v>
      </c>
      <c r="D514" s="8">
        <v>4.1900000000000004</v>
      </c>
      <c r="E514" s="4">
        <v>68</v>
      </c>
      <c r="F514" s="8">
        <v>1.57</v>
      </c>
      <c r="G514" s="4">
        <v>355</v>
      </c>
      <c r="H514" s="8">
        <v>6.2</v>
      </c>
      <c r="I514" s="4">
        <v>0</v>
      </c>
    </row>
    <row r="515" spans="1:9" x14ac:dyDescent="0.2">
      <c r="A515" s="2">
        <v>7</v>
      </c>
      <c r="B515" s="1" t="s">
        <v>96</v>
      </c>
      <c r="C515" s="4">
        <v>420</v>
      </c>
      <c r="D515" s="8">
        <v>4.16</v>
      </c>
      <c r="E515" s="4">
        <v>269</v>
      </c>
      <c r="F515" s="8">
        <v>6.2</v>
      </c>
      <c r="G515" s="4">
        <v>151</v>
      </c>
      <c r="H515" s="8">
        <v>2.64</v>
      </c>
      <c r="I515" s="4">
        <v>0</v>
      </c>
    </row>
    <row r="516" spans="1:9" x14ac:dyDescent="0.2">
      <c r="A516" s="2">
        <v>8</v>
      </c>
      <c r="B516" s="1" t="s">
        <v>106</v>
      </c>
      <c r="C516" s="4">
        <v>349</v>
      </c>
      <c r="D516" s="8">
        <v>3.46</v>
      </c>
      <c r="E516" s="4">
        <v>269</v>
      </c>
      <c r="F516" s="8">
        <v>6.2</v>
      </c>
      <c r="G516" s="4">
        <v>80</v>
      </c>
      <c r="H516" s="8">
        <v>1.4</v>
      </c>
      <c r="I516" s="4">
        <v>0</v>
      </c>
    </row>
    <row r="517" spans="1:9" x14ac:dyDescent="0.2">
      <c r="A517" s="2">
        <v>9</v>
      </c>
      <c r="B517" s="1" t="s">
        <v>88</v>
      </c>
      <c r="C517" s="4">
        <v>328</v>
      </c>
      <c r="D517" s="8">
        <v>3.25</v>
      </c>
      <c r="E517" s="4">
        <v>33</v>
      </c>
      <c r="F517" s="8">
        <v>0.76</v>
      </c>
      <c r="G517" s="4">
        <v>295</v>
      </c>
      <c r="H517" s="8">
        <v>5.15</v>
      </c>
      <c r="I517" s="4">
        <v>0</v>
      </c>
    </row>
    <row r="518" spans="1:9" x14ac:dyDescent="0.2">
      <c r="A518" s="2">
        <v>10</v>
      </c>
      <c r="B518" s="1" t="s">
        <v>90</v>
      </c>
      <c r="C518" s="4">
        <v>321</v>
      </c>
      <c r="D518" s="8">
        <v>3.18</v>
      </c>
      <c r="E518" s="4">
        <v>32</v>
      </c>
      <c r="F518" s="8">
        <v>0.74</v>
      </c>
      <c r="G518" s="4">
        <v>289</v>
      </c>
      <c r="H518" s="8">
        <v>5.05</v>
      </c>
      <c r="I518" s="4">
        <v>0</v>
      </c>
    </row>
    <row r="519" spans="1:9" x14ac:dyDescent="0.2">
      <c r="A519" s="2">
        <v>11</v>
      </c>
      <c r="B519" s="1" t="s">
        <v>101</v>
      </c>
      <c r="C519" s="4">
        <v>255</v>
      </c>
      <c r="D519" s="8">
        <v>2.5299999999999998</v>
      </c>
      <c r="E519" s="4">
        <v>126</v>
      </c>
      <c r="F519" s="8">
        <v>2.9</v>
      </c>
      <c r="G519" s="4">
        <v>129</v>
      </c>
      <c r="H519" s="8">
        <v>2.25</v>
      </c>
      <c r="I519" s="4">
        <v>0</v>
      </c>
    </row>
    <row r="520" spans="1:9" x14ac:dyDescent="0.2">
      <c r="A520" s="2">
        <v>12</v>
      </c>
      <c r="B520" s="1" t="s">
        <v>105</v>
      </c>
      <c r="C520" s="4">
        <v>220</v>
      </c>
      <c r="D520" s="8">
        <v>2.1800000000000002</v>
      </c>
      <c r="E520" s="4">
        <v>138</v>
      </c>
      <c r="F520" s="8">
        <v>3.18</v>
      </c>
      <c r="G520" s="4">
        <v>81</v>
      </c>
      <c r="H520" s="8">
        <v>1.41</v>
      </c>
      <c r="I520" s="4">
        <v>1</v>
      </c>
    </row>
    <row r="521" spans="1:9" x14ac:dyDescent="0.2">
      <c r="A521" s="2">
        <v>13</v>
      </c>
      <c r="B521" s="1" t="s">
        <v>117</v>
      </c>
      <c r="C521" s="4">
        <v>205</v>
      </c>
      <c r="D521" s="8">
        <v>2.0299999999999998</v>
      </c>
      <c r="E521" s="4">
        <v>60</v>
      </c>
      <c r="F521" s="8">
        <v>1.38</v>
      </c>
      <c r="G521" s="4">
        <v>145</v>
      </c>
      <c r="H521" s="8">
        <v>2.5299999999999998</v>
      </c>
      <c r="I521" s="4">
        <v>0</v>
      </c>
    </row>
    <row r="522" spans="1:9" x14ac:dyDescent="0.2">
      <c r="A522" s="2">
        <v>14</v>
      </c>
      <c r="B522" s="1" t="s">
        <v>95</v>
      </c>
      <c r="C522" s="4">
        <v>191</v>
      </c>
      <c r="D522" s="8">
        <v>1.89</v>
      </c>
      <c r="E522" s="4">
        <v>100</v>
      </c>
      <c r="F522" s="8">
        <v>2.2999999999999998</v>
      </c>
      <c r="G522" s="4">
        <v>90</v>
      </c>
      <c r="H522" s="8">
        <v>1.57</v>
      </c>
      <c r="I522" s="4">
        <v>1</v>
      </c>
    </row>
    <row r="523" spans="1:9" x14ac:dyDescent="0.2">
      <c r="A523" s="2">
        <v>15</v>
      </c>
      <c r="B523" s="1" t="s">
        <v>94</v>
      </c>
      <c r="C523" s="4">
        <v>187</v>
      </c>
      <c r="D523" s="8">
        <v>1.85</v>
      </c>
      <c r="E523" s="4">
        <v>18</v>
      </c>
      <c r="F523" s="8">
        <v>0.41</v>
      </c>
      <c r="G523" s="4">
        <v>169</v>
      </c>
      <c r="H523" s="8">
        <v>2.95</v>
      </c>
      <c r="I523" s="4">
        <v>0</v>
      </c>
    </row>
    <row r="524" spans="1:9" x14ac:dyDescent="0.2">
      <c r="A524" s="2">
        <v>16</v>
      </c>
      <c r="B524" s="1" t="s">
        <v>99</v>
      </c>
      <c r="C524" s="4">
        <v>180</v>
      </c>
      <c r="D524" s="8">
        <v>1.78</v>
      </c>
      <c r="E524" s="4">
        <v>20</v>
      </c>
      <c r="F524" s="8">
        <v>0.46</v>
      </c>
      <c r="G524" s="4">
        <v>160</v>
      </c>
      <c r="H524" s="8">
        <v>2.79</v>
      </c>
      <c r="I524" s="4">
        <v>0</v>
      </c>
    </row>
    <row r="525" spans="1:9" x14ac:dyDescent="0.2">
      <c r="A525" s="2">
        <v>17</v>
      </c>
      <c r="B525" s="1" t="s">
        <v>97</v>
      </c>
      <c r="C525" s="4">
        <v>178</v>
      </c>
      <c r="D525" s="8">
        <v>1.76</v>
      </c>
      <c r="E525" s="4">
        <v>66</v>
      </c>
      <c r="F525" s="8">
        <v>1.52</v>
      </c>
      <c r="G525" s="4">
        <v>112</v>
      </c>
      <c r="H525" s="8">
        <v>1.96</v>
      </c>
      <c r="I525" s="4">
        <v>0</v>
      </c>
    </row>
    <row r="526" spans="1:9" x14ac:dyDescent="0.2">
      <c r="A526" s="2">
        <v>18</v>
      </c>
      <c r="B526" s="1" t="s">
        <v>121</v>
      </c>
      <c r="C526" s="4">
        <v>168</v>
      </c>
      <c r="D526" s="8">
        <v>1.66</v>
      </c>
      <c r="E526" s="4">
        <v>28</v>
      </c>
      <c r="F526" s="8">
        <v>0.65</v>
      </c>
      <c r="G526" s="4">
        <v>140</v>
      </c>
      <c r="H526" s="8">
        <v>2.44</v>
      </c>
      <c r="I526" s="4">
        <v>0</v>
      </c>
    </row>
    <row r="527" spans="1:9" x14ac:dyDescent="0.2">
      <c r="A527" s="2">
        <v>19</v>
      </c>
      <c r="B527" s="1" t="s">
        <v>124</v>
      </c>
      <c r="C527" s="4">
        <v>158</v>
      </c>
      <c r="D527" s="8">
        <v>1.57</v>
      </c>
      <c r="E527" s="4">
        <v>35</v>
      </c>
      <c r="F527" s="8">
        <v>0.81</v>
      </c>
      <c r="G527" s="4">
        <v>123</v>
      </c>
      <c r="H527" s="8">
        <v>2.15</v>
      </c>
      <c r="I527" s="4">
        <v>0</v>
      </c>
    </row>
    <row r="528" spans="1:9" x14ac:dyDescent="0.2">
      <c r="A528" s="2">
        <v>20</v>
      </c>
      <c r="B528" s="1" t="s">
        <v>93</v>
      </c>
      <c r="C528" s="4">
        <v>151</v>
      </c>
      <c r="D528" s="8">
        <v>1.5</v>
      </c>
      <c r="E528" s="4">
        <v>10</v>
      </c>
      <c r="F528" s="8">
        <v>0.23</v>
      </c>
      <c r="G528" s="4">
        <v>141</v>
      </c>
      <c r="H528" s="8">
        <v>2.46</v>
      </c>
      <c r="I528" s="4">
        <v>0</v>
      </c>
    </row>
    <row r="529" spans="1:9" x14ac:dyDescent="0.2">
      <c r="A529" s="1"/>
      <c r="C529" s="4"/>
      <c r="D529" s="8"/>
      <c r="E529" s="4"/>
      <c r="F529" s="8"/>
      <c r="G529" s="4"/>
      <c r="H529" s="8"/>
      <c r="I529" s="4"/>
    </row>
    <row r="530" spans="1:9" x14ac:dyDescent="0.2">
      <c r="A530" s="1" t="s">
        <v>24</v>
      </c>
      <c r="C530" s="4"/>
      <c r="D530" s="8"/>
      <c r="E530" s="4"/>
      <c r="F530" s="8"/>
      <c r="G530" s="4"/>
      <c r="H530" s="8"/>
      <c r="I530" s="4"/>
    </row>
    <row r="531" spans="1:9" x14ac:dyDescent="0.2">
      <c r="A531" s="2">
        <v>1</v>
      </c>
      <c r="B531" s="1" t="s">
        <v>100</v>
      </c>
      <c r="C531" s="4">
        <v>1266</v>
      </c>
      <c r="D531" s="8">
        <v>10.53</v>
      </c>
      <c r="E531" s="4">
        <v>280</v>
      </c>
      <c r="F531" s="8">
        <v>6.6</v>
      </c>
      <c r="G531" s="4">
        <v>986</v>
      </c>
      <c r="H531" s="8">
        <v>12.69</v>
      </c>
      <c r="I531" s="4">
        <v>0</v>
      </c>
    </row>
    <row r="532" spans="1:9" x14ac:dyDescent="0.2">
      <c r="A532" s="2">
        <v>2</v>
      </c>
      <c r="B532" s="1" t="s">
        <v>104</v>
      </c>
      <c r="C532" s="4">
        <v>1025</v>
      </c>
      <c r="D532" s="8">
        <v>8.5299999999999994</v>
      </c>
      <c r="E532" s="4">
        <v>791</v>
      </c>
      <c r="F532" s="8">
        <v>18.66</v>
      </c>
      <c r="G532" s="4">
        <v>234</v>
      </c>
      <c r="H532" s="8">
        <v>3.01</v>
      </c>
      <c r="I532" s="4">
        <v>0</v>
      </c>
    </row>
    <row r="533" spans="1:9" x14ac:dyDescent="0.2">
      <c r="A533" s="2">
        <v>3</v>
      </c>
      <c r="B533" s="1" t="s">
        <v>103</v>
      </c>
      <c r="C533" s="4">
        <v>904</v>
      </c>
      <c r="D533" s="8">
        <v>7.52</v>
      </c>
      <c r="E533" s="4">
        <v>733</v>
      </c>
      <c r="F533" s="8">
        <v>17.29</v>
      </c>
      <c r="G533" s="4">
        <v>171</v>
      </c>
      <c r="H533" s="8">
        <v>2.2000000000000002</v>
      </c>
      <c r="I533" s="4">
        <v>0</v>
      </c>
    </row>
    <row r="534" spans="1:9" x14ac:dyDescent="0.2">
      <c r="A534" s="2">
        <v>4</v>
      </c>
      <c r="B534" s="1" t="s">
        <v>89</v>
      </c>
      <c r="C534" s="4">
        <v>749</v>
      </c>
      <c r="D534" s="8">
        <v>6.23</v>
      </c>
      <c r="E534" s="4">
        <v>87</v>
      </c>
      <c r="F534" s="8">
        <v>2.0499999999999998</v>
      </c>
      <c r="G534" s="4">
        <v>662</v>
      </c>
      <c r="H534" s="8">
        <v>8.52</v>
      </c>
      <c r="I534" s="4">
        <v>0</v>
      </c>
    </row>
    <row r="535" spans="1:9" x14ac:dyDescent="0.2">
      <c r="A535" s="2">
        <v>5</v>
      </c>
      <c r="B535" s="1" t="s">
        <v>98</v>
      </c>
      <c r="C535" s="4">
        <v>552</v>
      </c>
      <c r="D535" s="8">
        <v>4.59</v>
      </c>
      <c r="E535" s="4">
        <v>242</v>
      </c>
      <c r="F535" s="8">
        <v>5.71</v>
      </c>
      <c r="G535" s="4">
        <v>310</v>
      </c>
      <c r="H535" s="8">
        <v>3.99</v>
      </c>
      <c r="I535" s="4">
        <v>0</v>
      </c>
    </row>
    <row r="536" spans="1:9" x14ac:dyDescent="0.2">
      <c r="A536" s="2">
        <v>6</v>
      </c>
      <c r="B536" s="1" t="s">
        <v>90</v>
      </c>
      <c r="C536" s="4">
        <v>522</v>
      </c>
      <c r="D536" s="8">
        <v>4.34</v>
      </c>
      <c r="E536" s="4">
        <v>43</v>
      </c>
      <c r="F536" s="8">
        <v>1.01</v>
      </c>
      <c r="G536" s="4">
        <v>479</v>
      </c>
      <c r="H536" s="8">
        <v>6.16</v>
      </c>
      <c r="I536" s="4">
        <v>0</v>
      </c>
    </row>
    <row r="537" spans="1:9" x14ac:dyDescent="0.2">
      <c r="A537" s="2">
        <v>7</v>
      </c>
      <c r="B537" s="1" t="s">
        <v>88</v>
      </c>
      <c r="C537" s="4">
        <v>518</v>
      </c>
      <c r="D537" s="8">
        <v>4.3099999999999996</v>
      </c>
      <c r="E537" s="4">
        <v>50</v>
      </c>
      <c r="F537" s="8">
        <v>1.18</v>
      </c>
      <c r="G537" s="4">
        <v>468</v>
      </c>
      <c r="H537" s="8">
        <v>6.02</v>
      </c>
      <c r="I537" s="4">
        <v>0</v>
      </c>
    </row>
    <row r="538" spans="1:9" x14ac:dyDescent="0.2">
      <c r="A538" s="2">
        <v>8</v>
      </c>
      <c r="B538" s="1" t="s">
        <v>106</v>
      </c>
      <c r="C538" s="4">
        <v>422</v>
      </c>
      <c r="D538" s="8">
        <v>3.51</v>
      </c>
      <c r="E538" s="4">
        <v>327</v>
      </c>
      <c r="F538" s="8">
        <v>7.71</v>
      </c>
      <c r="G538" s="4">
        <v>95</v>
      </c>
      <c r="H538" s="8">
        <v>1.22</v>
      </c>
      <c r="I538" s="4">
        <v>0</v>
      </c>
    </row>
    <row r="539" spans="1:9" x14ac:dyDescent="0.2">
      <c r="A539" s="2">
        <v>9</v>
      </c>
      <c r="B539" s="1" t="s">
        <v>119</v>
      </c>
      <c r="C539" s="4">
        <v>406</v>
      </c>
      <c r="D539" s="8">
        <v>3.38</v>
      </c>
      <c r="E539" s="4">
        <v>84</v>
      </c>
      <c r="F539" s="8">
        <v>1.98</v>
      </c>
      <c r="G539" s="4">
        <v>322</v>
      </c>
      <c r="H539" s="8">
        <v>4.1399999999999997</v>
      </c>
      <c r="I539" s="4">
        <v>0</v>
      </c>
    </row>
    <row r="540" spans="1:9" x14ac:dyDescent="0.2">
      <c r="A540" s="2">
        <v>10</v>
      </c>
      <c r="B540" s="1" t="s">
        <v>96</v>
      </c>
      <c r="C540" s="4">
        <v>395</v>
      </c>
      <c r="D540" s="8">
        <v>3.29</v>
      </c>
      <c r="E540" s="4">
        <v>229</v>
      </c>
      <c r="F540" s="8">
        <v>5.4</v>
      </c>
      <c r="G540" s="4">
        <v>166</v>
      </c>
      <c r="H540" s="8">
        <v>2.14</v>
      </c>
      <c r="I540" s="4">
        <v>0</v>
      </c>
    </row>
    <row r="541" spans="1:9" x14ac:dyDescent="0.2">
      <c r="A541" s="2">
        <v>11</v>
      </c>
      <c r="B541" s="1" t="s">
        <v>97</v>
      </c>
      <c r="C541" s="4">
        <v>285</v>
      </c>
      <c r="D541" s="8">
        <v>2.37</v>
      </c>
      <c r="E541" s="4">
        <v>98</v>
      </c>
      <c r="F541" s="8">
        <v>2.31</v>
      </c>
      <c r="G541" s="4">
        <v>187</v>
      </c>
      <c r="H541" s="8">
        <v>2.41</v>
      </c>
      <c r="I541" s="4">
        <v>0</v>
      </c>
    </row>
    <row r="542" spans="1:9" x14ac:dyDescent="0.2">
      <c r="A542" s="2">
        <v>12</v>
      </c>
      <c r="B542" s="1" t="s">
        <v>101</v>
      </c>
      <c r="C542" s="4">
        <v>284</v>
      </c>
      <c r="D542" s="8">
        <v>2.36</v>
      </c>
      <c r="E542" s="4">
        <v>112</v>
      </c>
      <c r="F542" s="8">
        <v>2.64</v>
      </c>
      <c r="G542" s="4">
        <v>172</v>
      </c>
      <c r="H542" s="8">
        <v>2.21</v>
      </c>
      <c r="I542" s="4">
        <v>0</v>
      </c>
    </row>
    <row r="543" spans="1:9" x14ac:dyDescent="0.2">
      <c r="A543" s="2">
        <v>13</v>
      </c>
      <c r="B543" s="1" t="s">
        <v>99</v>
      </c>
      <c r="C543" s="4">
        <v>270</v>
      </c>
      <c r="D543" s="8">
        <v>2.25</v>
      </c>
      <c r="E543" s="4">
        <v>21</v>
      </c>
      <c r="F543" s="8">
        <v>0.5</v>
      </c>
      <c r="G543" s="4">
        <v>249</v>
      </c>
      <c r="H543" s="8">
        <v>3.2</v>
      </c>
      <c r="I543" s="4">
        <v>0</v>
      </c>
    </row>
    <row r="544" spans="1:9" x14ac:dyDescent="0.2">
      <c r="A544" s="2">
        <v>14</v>
      </c>
      <c r="B544" s="1" t="s">
        <v>105</v>
      </c>
      <c r="C544" s="4">
        <v>266</v>
      </c>
      <c r="D544" s="8">
        <v>2.21</v>
      </c>
      <c r="E544" s="4">
        <v>148</v>
      </c>
      <c r="F544" s="8">
        <v>3.49</v>
      </c>
      <c r="G544" s="4">
        <v>117</v>
      </c>
      <c r="H544" s="8">
        <v>1.51</v>
      </c>
      <c r="I544" s="4">
        <v>0</v>
      </c>
    </row>
    <row r="545" spans="1:9" x14ac:dyDescent="0.2">
      <c r="A545" s="2">
        <v>15</v>
      </c>
      <c r="B545" s="1" t="s">
        <v>123</v>
      </c>
      <c r="C545" s="4">
        <v>229</v>
      </c>
      <c r="D545" s="8">
        <v>1.91</v>
      </c>
      <c r="E545" s="4">
        <v>224</v>
      </c>
      <c r="F545" s="8">
        <v>5.28</v>
      </c>
      <c r="G545" s="4">
        <v>5</v>
      </c>
      <c r="H545" s="8">
        <v>0.06</v>
      </c>
      <c r="I545" s="4">
        <v>0</v>
      </c>
    </row>
    <row r="546" spans="1:9" x14ac:dyDescent="0.2">
      <c r="A546" s="2">
        <v>16</v>
      </c>
      <c r="B546" s="1" t="s">
        <v>110</v>
      </c>
      <c r="C546" s="4">
        <v>220</v>
      </c>
      <c r="D546" s="8">
        <v>1.83</v>
      </c>
      <c r="E546" s="4">
        <v>30</v>
      </c>
      <c r="F546" s="8">
        <v>0.71</v>
      </c>
      <c r="G546" s="4">
        <v>190</v>
      </c>
      <c r="H546" s="8">
        <v>2.44</v>
      </c>
      <c r="I546" s="4">
        <v>0</v>
      </c>
    </row>
    <row r="547" spans="1:9" x14ac:dyDescent="0.2">
      <c r="A547" s="2">
        <v>17</v>
      </c>
      <c r="B547" s="1" t="s">
        <v>94</v>
      </c>
      <c r="C547" s="4">
        <v>205</v>
      </c>
      <c r="D547" s="8">
        <v>1.71</v>
      </c>
      <c r="E547" s="4">
        <v>11</v>
      </c>
      <c r="F547" s="8">
        <v>0.26</v>
      </c>
      <c r="G547" s="4">
        <v>194</v>
      </c>
      <c r="H547" s="8">
        <v>2.5</v>
      </c>
      <c r="I547" s="4">
        <v>0</v>
      </c>
    </row>
    <row r="548" spans="1:9" x14ac:dyDescent="0.2">
      <c r="A548" s="2">
        <v>18</v>
      </c>
      <c r="B548" s="1" t="s">
        <v>118</v>
      </c>
      <c r="C548" s="4">
        <v>199</v>
      </c>
      <c r="D548" s="8">
        <v>1.66</v>
      </c>
      <c r="E548" s="4">
        <v>90</v>
      </c>
      <c r="F548" s="8">
        <v>2.12</v>
      </c>
      <c r="G548" s="4">
        <v>109</v>
      </c>
      <c r="H548" s="8">
        <v>1.4</v>
      </c>
      <c r="I548" s="4">
        <v>0</v>
      </c>
    </row>
    <row r="549" spans="1:9" x14ac:dyDescent="0.2">
      <c r="A549" s="2">
        <v>19</v>
      </c>
      <c r="B549" s="1" t="s">
        <v>102</v>
      </c>
      <c r="C549" s="4">
        <v>190</v>
      </c>
      <c r="D549" s="8">
        <v>1.58</v>
      </c>
      <c r="E549" s="4">
        <v>43</v>
      </c>
      <c r="F549" s="8">
        <v>1.01</v>
      </c>
      <c r="G549" s="4">
        <v>142</v>
      </c>
      <c r="H549" s="8">
        <v>1.83</v>
      </c>
      <c r="I549" s="4">
        <v>0</v>
      </c>
    </row>
    <row r="550" spans="1:9" x14ac:dyDescent="0.2">
      <c r="A550" s="2">
        <v>20</v>
      </c>
      <c r="B550" s="1" t="s">
        <v>93</v>
      </c>
      <c r="C550" s="4">
        <v>189</v>
      </c>
      <c r="D550" s="8">
        <v>1.57</v>
      </c>
      <c r="E550" s="4">
        <v>11</v>
      </c>
      <c r="F550" s="8">
        <v>0.26</v>
      </c>
      <c r="G550" s="4">
        <v>178</v>
      </c>
      <c r="H550" s="8">
        <v>2.29</v>
      </c>
      <c r="I550" s="4">
        <v>0</v>
      </c>
    </row>
    <row r="551" spans="1:9" x14ac:dyDescent="0.2">
      <c r="A551" s="1"/>
      <c r="C551" s="4"/>
      <c r="D551" s="8"/>
      <c r="E551" s="4"/>
      <c r="F551" s="8"/>
      <c r="G551" s="4"/>
      <c r="H551" s="8"/>
      <c r="I551" s="4"/>
    </row>
    <row r="552" spans="1:9" x14ac:dyDescent="0.2">
      <c r="A552" s="1" t="s">
        <v>25</v>
      </c>
      <c r="C552" s="4"/>
      <c r="D552" s="8"/>
      <c r="E552" s="4"/>
      <c r="F552" s="8"/>
      <c r="G552" s="4"/>
      <c r="H552" s="8"/>
      <c r="I552" s="4"/>
    </row>
    <row r="553" spans="1:9" x14ac:dyDescent="0.2">
      <c r="A553" s="2">
        <v>1</v>
      </c>
      <c r="B553" s="1" t="s">
        <v>95</v>
      </c>
      <c r="C553" s="4">
        <v>32</v>
      </c>
      <c r="D553" s="8">
        <v>23.88</v>
      </c>
      <c r="E553" s="4">
        <v>4</v>
      </c>
      <c r="F553" s="8">
        <v>14.29</v>
      </c>
      <c r="G553" s="4">
        <v>28</v>
      </c>
      <c r="H553" s="8">
        <v>26.42</v>
      </c>
      <c r="I553" s="4">
        <v>0</v>
      </c>
    </row>
    <row r="554" spans="1:9" x14ac:dyDescent="0.2">
      <c r="A554" s="2">
        <v>2</v>
      </c>
      <c r="B554" s="1" t="s">
        <v>103</v>
      </c>
      <c r="C554" s="4">
        <v>30</v>
      </c>
      <c r="D554" s="8">
        <v>22.39</v>
      </c>
      <c r="E554" s="4">
        <v>12</v>
      </c>
      <c r="F554" s="8">
        <v>42.86</v>
      </c>
      <c r="G554" s="4">
        <v>18</v>
      </c>
      <c r="H554" s="8">
        <v>16.98</v>
      </c>
      <c r="I554" s="4">
        <v>0</v>
      </c>
    </row>
    <row r="555" spans="1:9" x14ac:dyDescent="0.2">
      <c r="A555" s="2">
        <v>3</v>
      </c>
      <c r="B555" s="1" t="s">
        <v>98</v>
      </c>
      <c r="C555" s="4">
        <v>16</v>
      </c>
      <c r="D555" s="8">
        <v>11.94</v>
      </c>
      <c r="E555" s="4">
        <v>8</v>
      </c>
      <c r="F555" s="8">
        <v>28.57</v>
      </c>
      <c r="G555" s="4">
        <v>8</v>
      </c>
      <c r="H555" s="8">
        <v>7.55</v>
      </c>
      <c r="I555" s="4">
        <v>0</v>
      </c>
    </row>
    <row r="556" spans="1:9" x14ac:dyDescent="0.2">
      <c r="A556" s="2">
        <v>4</v>
      </c>
      <c r="B556" s="1" t="s">
        <v>104</v>
      </c>
      <c r="C556" s="4">
        <v>8</v>
      </c>
      <c r="D556" s="8">
        <v>5.97</v>
      </c>
      <c r="E556" s="4">
        <v>2</v>
      </c>
      <c r="F556" s="8">
        <v>7.14</v>
      </c>
      <c r="G556" s="4">
        <v>6</v>
      </c>
      <c r="H556" s="8">
        <v>5.66</v>
      </c>
      <c r="I556" s="4">
        <v>0</v>
      </c>
    </row>
    <row r="557" spans="1:9" x14ac:dyDescent="0.2">
      <c r="A557" s="2">
        <v>5</v>
      </c>
      <c r="B557" s="1" t="s">
        <v>94</v>
      </c>
      <c r="C557" s="4">
        <v>7</v>
      </c>
      <c r="D557" s="8">
        <v>5.22</v>
      </c>
      <c r="E557" s="4">
        <v>2</v>
      </c>
      <c r="F557" s="8">
        <v>7.14</v>
      </c>
      <c r="G557" s="4">
        <v>5</v>
      </c>
      <c r="H557" s="8">
        <v>4.72</v>
      </c>
      <c r="I557" s="4">
        <v>0</v>
      </c>
    </row>
    <row r="558" spans="1:9" x14ac:dyDescent="0.2">
      <c r="A558" s="2">
        <v>6</v>
      </c>
      <c r="B558" s="1" t="s">
        <v>112</v>
      </c>
      <c r="C558" s="4">
        <v>4</v>
      </c>
      <c r="D558" s="8">
        <v>2.99</v>
      </c>
      <c r="E558" s="4">
        <v>0</v>
      </c>
      <c r="F558" s="8">
        <v>0</v>
      </c>
      <c r="G558" s="4">
        <v>4</v>
      </c>
      <c r="H558" s="8">
        <v>3.77</v>
      </c>
      <c r="I558" s="4">
        <v>0</v>
      </c>
    </row>
    <row r="559" spans="1:9" x14ac:dyDescent="0.2">
      <c r="A559" s="2">
        <v>6</v>
      </c>
      <c r="B559" s="1" t="s">
        <v>115</v>
      </c>
      <c r="C559" s="4">
        <v>4</v>
      </c>
      <c r="D559" s="8">
        <v>2.99</v>
      </c>
      <c r="E559" s="4">
        <v>0</v>
      </c>
      <c r="F559" s="8">
        <v>0</v>
      </c>
      <c r="G559" s="4">
        <v>4</v>
      </c>
      <c r="H559" s="8">
        <v>3.77</v>
      </c>
      <c r="I559" s="4">
        <v>0</v>
      </c>
    </row>
    <row r="560" spans="1:9" x14ac:dyDescent="0.2">
      <c r="A560" s="2">
        <v>8</v>
      </c>
      <c r="B560" s="1" t="s">
        <v>100</v>
      </c>
      <c r="C560" s="4">
        <v>3</v>
      </c>
      <c r="D560" s="8">
        <v>2.2400000000000002</v>
      </c>
      <c r="E560" s="4">
        <v>0</v>
      </c>
      <c r="F560" s="8">
        <v>0</v>
      </c>
      <c r="G560" s="4">
        <v>3</v>
      </c>
      <c r="H560" s="8">
        <v>2.83</v>
      </c>
      <c r="I560" s="4">
        <v>0</v>
      </c>
    </row>
    <row r="561" spans="1:9" x14ac:dyDescent="0.2">
      <c r="A561" s="2">
        <v>9</v>
      </c>
      <c r="B561" s="1" t="s">
        <v>92</v>
      </c>
      <c r="C561" s="4">
        <v>2</v>
      </c>
      <c r="D561" s="8">
        <v>1.49</v>
      </c>
      <c r="E561" s="4">
        <v>0</v>
      </c>
      <c r="F561" s="8">
        <v>0</v>
      </c>
      <c r="G561" s="4">
        <v>2</v>
      </c>
      <c r="H561" s="8">
        <v>1.89</v>
      </c>
      <c r="I561" s="4">
        <v>0</v>
      </c>
    </row>
    <row r="562" spans="1:9" x14ac:dyDescent="0.2">
      <c r="A562" s="2">
        <v>9</v>
      </c>
      <c r="B562" s="1" t="s">
        <v>93</v>
      </c>
      <c r="C562" s="4">
        <v>2</v>
      </c>
      <c r="D562" s="8">
        <v>1.49</v>
      </c>
      <c r="E562" s="4">
        <v>0</v>
      </c>
      <c r="F562" s="8">
        <v>0</v>
      </c>
      <c r="G562" s="4">
        <v>2</v>
      </c>
      <c r="H562" s="8">
        <v>1.89</v>
      </c>
      <c r="I562" s="4">
        <v>0</v>
      </c>
    </row>
    <row r="563" spans="1:9" x14ac:dyDescent="0.2">
      <c r="A563" s="2">
        <v>9</v>
      </c>
      <c r="B563" s="1" t="s">
        <v>96</v>
      </c>
      <c r="C563" s="4">
        <v>2</v>
      </c>
      <c r="D563" s="8">
        <v>1.49</v>
      </c>
      <c r="E563" s="4">
        <v>0</v>
      </c>
      <c r="F563" s="8">
        <v>0</v>
      </c>
      <c r="G563" s="4">
        <v>2</v>
      </c>
      <c r="H563" s="8">
        <v>1.89</v>
      </c>
      <c r="I563" s="4">
        <v>0</v>
      </c>
    </row>
    <row r="564" spans="1:9" x14ac:dyDescent="0.2">
      <c r="A564" s="2">
        <v>9</v>
      </c>
      <c r="B564" s="1" t="s">
        <v>111</v>
      </c>
      <c r="C564" s="4">
        <v>2</v>
      </c>
      <c r="D564" s="8">
        <v>1.49</v>
      </c>
      <c r="E564" s="4">
        <v>0</v>
      </c>
      <c r="F564" s="8">
        <v>0</v>
      </c>
      <c r="G564" s="4">
        <v>2</v>
      </c>
      <c r="H564" s="8">
        <v>1.89</v>
      </c>
      <c r="I564" s="4">
        <v>0</v>
      </c>
    </row>
    <row r="565" spans="1:9" x14ac:dyDescent="0.2">
      <c r="A565" s="2">
        <v>9</v>
      </c>
      <c r="B565" s="1" t="s">
        <v>99</v>
      </c>
      <c r="C565" s="4">
        <v>2</v>
      </c>
      <c r="D565" s="8">
        <v>1.49</v>
      </c>
      <c r="E565" s="4">
        <v>0</v>
      </c>
      <c r="F565" s="8">
        <v>0</v>
      </c>
      <c r="G565" s="4">
        <v>2</v>
      </c>
      <c r="H565" s="8">
        <v>1.89</v>
      </c>
      <c r="I565" s="4">
        <v>0</v>
      </c>
    </row>
    <row r="566" spans="1:9" x14ac:dyDescent="0.2">
      <c r="A566" s="2">
        <v>9</v>
      </c>
      <c r="B566" s="1" t="s">
        <v>101</v>
      </c>
      <c r="C566" s="4">
        <v>2</v>
      </c>
      <c r="D566" s="8">
        <v>1.49</v>
      </c>
      <c r="E566" s="4">
        <v>0</v>
      </c>
      <c r="F566" s="8">
        <v>0</v>
      </c>
      <c r="G566" s="4">
        <v>2</v>
      </c>
      <c r="H566" s="8">
        <v>1.89</v>
      </c>
      <c r="I566" s="4">
        <v>0</v>
      </c>
    </row>
    <row r="567" spans="1:9" x14ac:dyDescent="0.2">
      <c r="A567" s="2">
        <v>9</v>
      </c>
      <c r="B567" s="1" t="s">
        <v>105</v>
      </c>
      <c r="C567" s="4">
        <v>2</v>
      </c>
      <c r="D567" s="8">
        <v>1.49</v>
      </c>
      <c r="E567" s="4">
        <v>0</v>
      </c>
      <c r="F567" s="8">
        <v>0</v>
      </c>
      <c r="G567" s="4">
        <v>2</v>
      </c>
      <c r="H567" s="8">
        <v>1.89</v>
      </c>
      <c r="I567" s="4">
        <v>0</v>
      </c>
    </row>
    <row r="568" spans="1:9" x14ac:dyDescent="0.2">
      <c r="A568" s="2">
        <v>9</v>
      </c>
      <c r="B568" s="1" t="s">
        <v>131</v>
      </c>
      <c r="C568" s="4">
        <v>2</v>
      </c>
      <c r="D568" s="8">
        <v>1.49</v>
      </c>
      <c r="E568" s="4">
        <v>0</v>
      </c>
      <c r="F568" s="8">
        <v>0</v>
      </c>
      <c r="G568" s="4">
        <v>2</v>
      </c>
      <c r="H568" s="8">
        <v>1.89</v>
      </c>
      <c r="I568" s="4">
        <v>0</v>
      </c>
    </row>
    <row r="569" spans="1:9" x14ac:dyDescent="0.2">
      <c r="A569" s="2">
        <v>9</v>
      </c>
      <c r="B569" s="1" t="s">
        <v>107</v>
      </c>
      <c r="C569" s="4">
        <v>2</v>
      </c>
      <c r="D569" s="8">
        <v>1.49</v>
      </c>
      <c r="E569" s="4">
        <v>0</v>
      </c>
      <c r="F569" s="8">
        <v>0</v>
      </c>
      <c r="G569" s="4">
        <v>2</v>
      </c>
      <c r="H569" s="8">
        <v>1.89</v>
      </c>
      <c r="I569" s="4">
        <v>0</v>
      </c>
    </row>
    <row r="570" spans="1:9" x14ac:dyDescent="0.2">
      <c r="A570" s="2">
        <v>18</v>
      </c>
      <c r="B570" s="1" t="s">
        <v>88</v>
      </c>
      <c r="C570" s="4">
        <v>1</v>
      </c>
      <c r="D570" s="8">
        <v>0.75</v>
      </c>
      <c r="E570" s="4">
        <v>0</v>
      </c>
      <c r="F570" s="8">
        <v>0</v>
      </c>
      <c r="G570" s="4">
        <v>1</v>
      </c>
      <c r="H570" s="8">
        <v>0.94</v>
      </c>
      <c r="I570" s="4">
        <v>0</v>
      </c>
    </row>
    <row r="571" spans="1:9" x14ac:dyDescent="0.2">
      <c r="A571" s="2">
        <v>18</v>
      </c>
      <c r="B571" s="1" t="s">
        <v>90</v>
      </c>
      <c r="C571" s="4">
        <v>1</v>
      </c>
      <c r="D571" s="8">
        <v>0.75</v>
      </c>
      <c r="E571" s="4">
        <v>0</v>
      </c>
      <c r="F571" s="8">
        <v>0</v>
      </c>
      <c r="G571" s="4">
        <v>1</v>
      </c>
      <c r="H571" s="8">
        <v>0.94</v>
      </c>
      <c r="I571" s="4">
        <v>0</v>
      </c>
    </row>
    <row r="572" spans="1:9" x14ac:dyDescent="0.2">
      <c r="A572" s="2">
        <v>18</v>
      </c>
      <c r="B572" s="1" t="s">
        <v>125</v>
      </c>
      <c r="C572" s="4">
        <v>1</v>
      </c>
      <c r="D572" s="8">
        <v>0.75</v>
      </c>
      <c r="E572" s="4">
        <v>0</v>
      </c>
      <c r="F572" s="8">
        <v>0</v>
      </c>
      <c r="G572" s="4">
        <v>1</v>
      </c>
      <c r="H572" s="8">
        <v>0.94</v>
      </c>
      <c r="I572" s="4">
        <v>0</v>
      </c>
    </row>
    <row r="573" spans="1:9" x14ac:dyDescent="0.2">
      <c r="A573" s="2">
        <v>18</v>
      </c>
      <c r="B573" s="1" t="s">
        <v>126</v>
      </c>
      <c r="C573" s="4">
        <v>1</v>
      </c>
      <c r="D573" s="8">
        <v>0.75</v>
      </c>
      <c r="E573" s="4">
        <v>0</v>
      </c>
      <c r="F573" s="8">
        <v>0</v>
      </c>
      <c r="G573" s="4">
        <v>1</v>
      </c>
      <c r="H573" s="8">
        <v>0.94</v>
      </c>
      <c r="I573" s="4">
        <v>0</v>
      </c>
    </row>
    <row r="574" spans="1:9" x14ac:dyDescent="0.2">
      <c r="A574" s="2">
        <v>18</v>
      </c>
      <c r="B574" s="1" t="s">
        <v>127</v>
      </c>
      <c r="C574" s="4">
        <v>1</v>
      </c>
      <c r="D574" s="8">
        <v>0.75</v>
      </c>
      <c r="E574" s="4">
        <v>0</v>
      </c>
      <c r="F574" s="8">
        <v>0</v>
      </c>
      <c r="G574" s="4">
        <v>1</v>
      </c>
      <c r="H574" s="8">
        <v>0.94</v>
      </c>
      <c r="I574" s="4">
        <v>0</v>
      </c>
    </row>
    <row r="575" spans="1:9" x14ac:dyDescent="0.2">
      <c r="A575" s="2">
        <v>18</v>
      </c>
      <c r="B575" s="1" t="s">
        <v>122</v>
      </c>
      <c r="C575" s="4">
        <v>1</v>
      </c>
      <c r="D575" s="8">
        <v>0.75</v>
      </c>
      <c r="E575" s="4">
        <v>0</v>
      </c>
      <c r="F575" s="8">
        <v>0</v>
      </c>
      <c r="G575" s="4">
        <v>1</v>
      </c>
      <c r="H575" s="8">
        <v>0.94</v>
      </c>
      <c r="I575" s="4">
        <v>0</v>
      </c>
    </row>
    <row r="576" spans="1:9" x14ac:dyDescent="0.2">
      <c r="A576" s="2">
        <v>18</v>
      </c>
      <c r="B576" s="1" t="s">
        <v>128</v>
      </c>
      <c r="C576" s="4">
        <v>1</v>
      </c>
      <c r="D576" s="8">
        <v>0.75</v>
      </c>
      <c r="E576" s="4">
        <v>0</v>
      </c>
      <c r="F576" s="8">
        <v>0</v>
      </c>
      <c r="G576" s="4">
        <v>1</v>
      </c>
      <c r="H576" s="8">
        <v>0.94</v>
      </c>
      <c r="I576" s="4">
        <v>0</v>
      </c>
    </row>
    <row r="577" spans="1:9" x14ac:dyDescent="0.2">
      <c r="A577" s="2">
        <v>18</v>
      </c>
      <c r="B577" s="1" t="s">
        <v>129</v>
      </c>
      <c r="C577" s="4">
        <v>1</v>
      </c>
      <c r="D577" s="8">
        <v>0.75</v>
      </c>
      <c r="E577" s="4">
        <v>0</v>
      </c>
      <c r="F577" s="8">
        <v>0</v>
      </c>
      <c r="G577" s="4">
        <v>1</v>
      </c>
      <c r="H577" s="8">
        <v>0.94</v>
      </c>
      <c r="I577" s="4">
        <v>0</v>
      </c>
    </row>
    <row r="578" spans="1:9" x14ac:dyDescent="0.2">
      <c r="A578" s="2">
        <v>18</v>
      </c>
      <c r="B578" s="1" t="s">
        <v>102</v>
      </c>
      <c r="C578" s="4">
        <v>1</v>
      </c>
      <c r="D578" s="8">
        <v>0.75</v>
      </c>
      <c r="E578" s="4">
        <v>0</v>
      </c>
      <c r="F578" s="8">
        <v>0</v>
      </c>
      <c r="G578" s="4">
        <v>1</v>
      </c>
      <c r="H578" s="8">
        <v>0.94</v>
      </c>
      <c r="I578" s="4">
        <v>0</v>
      </c>
    </row>
    <row r="579" spans="1:9" x14ac:dyDescent="0.2">
      <c r="A579" s="2">
        <v>18</v>
      </c>
      <c r="B579" s="1" t="s">
        <v>130</v>
      </c>
      <c r="C579" s="4">
        <v>1</v>
      </c>
      <c r="D579" s="8">
        <v>0.75</v>
      </c>
      <c r="E579" s="4">
        <v>0</v>
      </c>
      <c r="F579" s="8">
        <v>0</v>
      </c>
      <c r="G579" s="4">
        <v>1</v>
      </c>
      <c r="H579" s="8">
        <v>0.94</v>
      </c>
      <c r="I579" s="4">
        <v>0</v>
      </c>
    </row>
    <row r="580" spans="1:9" x14ac:dyDescent="0.2">
      <c r="A580" s="2">
        <v>18</v>
      </c>
      <c r="B580" s="1" t="s">
        <v>114</v>
      </c>
      <c r="C580" s="4">
        <v>1</v>
      </c>
      <c r="D580" s="8">
        <v>0.75</v>
      </c>
      <c r="E580" s="4">
        <v>0</v>
      </c>
      <c r="F580" s="8">
        <v>0</v>
      </c>
      <c r="G580" s="4">
        <v>1</v>
      </c>
      <c r="H580" s="8">
        <v>0.94</v>
      </c>
      <c r="I580" s="4">
        <v>0</v>
      </c>
    </row>
    <row r="581" spans="1:9" x14ac:dyDescent="0.2">
      <c r="A581" s="2">
        <v>18</v>
      </c>
      <c r="B581" s="1" t="s">
        <v>106</v>
      </c>
      <c r="C581" s="4">
        <v>1</v>
      </c>
      <c r="D581" s="8">
        <v>0.75</v>
      </c>
      <c r="E581" s="4">
        <v>0</v>
      </c>
      <c r="F581" s="8">
        <v>0</v>
      </c>
      <c r="G581" s="4">
        <v>1</v>
      </c>
      <c r="H581" s="8">
        <v>0.94</v>
      </c>
      <c r="I581" s="4">
        <v>0</v>
      </c>
    </row>
    <row r="582" spans="1:9" x14ac:dyDescent="0.2">
      <c r="A582" s="1"/>
      <c r="C582" s="4"/>
      <c r="D582" s="8"/>
      <c r="E582" s="4"/>
      <c r="F582" s="8"/>
      <c r="G582" s="4"/>
      <c r="H582" s="8"/>
      <c r="I582" s="4"/>
    </row>
    <row r="583" spans="1:9" x14ac:dyDescent="0.2">
      <c r="A583" s="1" t="s">
        <v>26</v>
      </c>
      <c r="C583" s="4"/>
      <c r="D583" s="8"/>
      <c r="E583" s="4"/>
      <c r="F583" s="8"/>
      <c r="G583" s="4"/>
      <c r="H583" s="8"/>
      <c r="I583" s="4"/>
    </row>
    <row r="584" spans="1:9" x14ac:dyDescent="0.2">
      <c r="A584" s="2">
        <v>1</v>
      </c>
      <c r="B584" s="1" t="s">
        <v>100</v>
      </c>
      <c r="C584" s="4">
        <v>939</v>
      </c>
      <c r="D584" s="8">
        <v>9.67</v>
      </c>
      <c r="E584" s="4">
        <v>283</v>
      </c>
      <c r="F584" s="8">
        <v>7.45</v>
      </c>
      <c r="G584" s="4">
        <v>654</v>
      </c>
      <c r="H584" s="8">
        <v>11.12</v>
      </c>
      <c r="I584" s="4">
        <v>2</v>
      </c>
    </row>
    <row r="585" spans="1:9" x14ac:dyDescent="0.2">
      <c r="A585" s="2">
        <v>2</v>
      </c>
      <c r="B585" s="1" t="s">
        <v>103</v>
      </c>
      <c r="C585" s="4">
        <v>879</v>
      </c>
      <c r="D585" s="8">
        <v>9.0500000000000007</v>
      </c>
      <c r="E585" s="4">
        <v>701</v>
      </c>
      <c r="F585" s="8">
        <v>18.46</v>
      </c>
      <c r="G585" s="4">
        <v>178</v>
      </c>
      <c r="H585" s="8">
        <v>3.03</v>
      </c>
      <c r="I585" s="4">
        <v>0</v>
      </c>
    </row>
    <row r="586" spans="1:9" x14ac:dyDescent="0.2">
      <c r="A586" s="2">
        <v>3</v>
      </c>
      <c r="B586" s="1" t="s">
        <v>104</v>
      </c>
      <c r="C586" s="4">
        <v>844</v>
      </c>
      <c r="D586" s="8">
        <v>8.69</v>
      </c>
      <c r="E586" s="4">
        <v>661</v>
      </c>
      <c r="F586" s="8">
        <v>17.399999999999999</v>
      </c>
      <c r="G586" s="4">
        <v>183</v>
      </c>
      <c r="H586" s="8">
        <v>3.11</v>
      </c>
      <c r="I586" s="4">
        <v>0</v>
      </c>
    </row>
    <row r="587" spans="1:9" x14ac:dyDescent="0.2">
      <c r="A587" s="2">
        <v>4</v>
      </c>
      <c r="B587" s="1" t="s">
        <v>88</v>
      </c>
      <c r="C587" s="4">
        <v>562</v>
      </c>
      <c r="D587" s="8">
        <v>5.79</v>
      </c>
      <c r="E587" s="4">
        <v>85</v>
      </c>
      <c r="F587" s="8">
        <v>2.2400000000000002</v>
      </c>
      <c r="G587" s="4">
        <v>477</v>
      </c>
      <c r="H587" s="8">
        <v>8.11</v>
      </c>
      <c r="I587" s="4">
        <v>0</v>
      </c>
    </row>
    <row r="588" spans="1:9" x14ac:dyDescent="0.2">
      <c r="A588" s="2">
        <v>5</v>
      </c>
      <c r="B588" s="1" t="s">
        <v>89</v>
      </c>
      <c r="C588" s="4">
        <v>508</v>
      </c>
      <c r="D588" s="8">
        <v>5.23</v>
      </c>
      <c r="E588" s="4">
        <v>136</v>
      </c>
      <c r="F588" s="8">
        <v>3.58</v>
      </c>
      <c r="G588" s="4">
        <v>372</v>
      </c>
      <c r="H588" s="8">
        <v>6.33</v>
      </c>
      <c r="I588" s="4">
        <v>0</v>
      </c>
    </row>
    <row r="589" spans="1:9" x14ac:dyDescent="0.2">
      <c r="A589" s="2">
        <v>6</v>
      </c>
      <c r="B589" s="1" t="s">
        <v>98</v>
      </c>
      <c r="C589" s="4">
        <v>460</v>
      </c>
      <c r="D589" s="8">
        <v>4.74</v>
      </c>
      <c r="E589" s="4">
        <v>201</v>
      </c>
      <c r="F589" s="8">
        <v>5.29</v>
      </c>
      <c r="G589" s="4">
        <v>259</v>
      </c>
      <c r="H589" s="8">
        <v>4.41</v>
      </c>
      <c r="I589" s="4">
        <v>0</v>
      </c>
    </row>
    <row r="590" spans="1:9" x14ac:dyDescent="0.2">
      <c r="A590" s="2">
        <v>7</v>
      </c>
      <c r="B590" s="1" t="s">
        <v>90</v>
      </c>
      <c r="C590" s="4">
        <v>394</v>
      </c>
      <c r="D590" s="8">
        <v>4.0599999999999996</v>
      </c>
      <c r="E590" s="4">
        <v>65</v>
      </c>
      <c r="F590" s="8">
        <v>1.71</v>
      </c>
      <c r="G590" s="4">
        <v>329</v>
      </c>
      <c r="H590" s="8">
        <v>5.6</v>
      </c>
      <c r="I590" s="4">
        <v>0</v>
      </c>
    </row>
    <row r="591" spans="1:9" x14ac:dyDescent="0.2">
      <c r="A591" s="2">
        <v>8</v>
      </c>
      <c r="B591" s="1" t="s">
        <v>105</v>
      </c>
      <c r="C591" s="4">
        <v>375</v>
      </c>
      <c r="D591" s="8">
        <v>3.86</v>
      </c>
      <c r="E591" s="4">
        <v>251</v>
      </c>
      <c r="F591" s="8">
        <v>6.61</v>
      </c>
      <c r="G591" s="4">
        <v>118</v>
      </c>
      <c r="H591" s="8">
        <v>2.0099999999999998</v>
      </c>
      <c r="I591" s="4">
        <v>1</v>
      </c>
    </row>
    <row r="592" spans="1:9" x14ac:dyDescent="0.2">
      <c r="A592" s="2">
        <v>9</v>
      </c>
      <c r="B592" s="1" t="s">
        <v>101</v>
      </c>
      <c r="C592" s="4">
        <v>352</v>
      </c>
      <c r="D592" s="8">
        <v>3.62</v>
      </c>
      <c r="E592" s="4">
        <v>169</v>
      </c>
      <c r="F592" s="8">
        <v>4.45</v>
      </c>
      <c r="G592" s="4">
        <v>182</v>
      </c>
      <c r="H592" s="8">
        <v>3.1</v>
      </c>
      <c r="I592" s="4">
        <v>1</v>
      </c>
    </row>
    <row r="593" spans="1:9" x14ac:dyDescent="0.2">
      <c r="A593" s="2">
        <v>9</v>
      </c>
      <c r="B593" s="1" t="s">
        <v>106</v>
      </c>
      <c r="C593" s="4">
        <v>352</v>
      </c>
      <c r="D593" s="8">
        <v>3.62</v>
      </c>
      <c r="E593" s="4">
        <v>291</v>
      </c>
      <c r="F593" s="8">
        <v>7.66</v>
      </c>
      <c r="G593" s="4">
        <v>61</v>
      </c>
      <c r="H593" s="8">
        <v>1.04</v>
      </c>
      <c r="I593" s="4">
        <v>0</v>
      </c>
    </row>
    <row r="594" spans="1:9" x14ac:dyDescent="0.2">
      <c r="A594" s="2">
        <v>11</v>
      </c>
      <c r="B594" s="1" t="s">
        <v>96</v>
      </c>
      <c r="C594" s="4">
        <v>310</v>
      </c>
      <c r="D594" s="8">
        <v>3.19</v>
      </c>
      <c r="E594" s="4">
        <v>157</v>
      </c>
      <c r="F594" s="8">
        <v>4.13</v>
      </c>
      <c r="G594" s="4">
        <v>153</v>
      </c>
      <c r="H594" s="8">
        <v>2.6</v>
      </c>
      <c r="I594" s="4">
        <v>0</v>
      </c>
    </row>
    <row r="595" spans="1:9" x14ac:dyDescent="0.2">
      <c r="A595" s="2">
        <v>12</v>
      </c>
      <c r="B595" s="1" t="s">
        <v>97</v>
      </c>
      <c r="C595" s="4">
        <v>253</v>
      </c>
      <c r="D595" s="8">
        <v>2.61</v>
      </c>
      <c r="E595" s="4">
        <v>116</v>
      </c>
      <c r="F595" s="8">
        <v>3.05</v>
      </c>
      <c r="G595" s="4">
        <v>137</v>
      </c>
      <c r="H595" s="8">
        <v>2.33</v>
      </c>
      <c r="I595" s="4">
        <v>0</v>
      </c>
    </row>
    <row r="596" spans="1:9" x14ac:dyDescent="0.2">
      <c r="A596" s="2">
        <v>13</v>
      </c>
      <c r="B596" s="1" t="s">
        <v>102</v>
      </c>
      <c r="C596" s="4">
        <v>248</v>
      </c>
      <c r="D596" s="8">
        <v>2.5499999999999998</v>
      </c>
      <c r="E596" s="4">
        <v>62</v>
      </c>
      <c r="F596" s="8">
        <v>1.63</v>
      </c>
      <c r="G596" s="4">
        <v>185</v>
      </c>
      <c r="H596" s="8">
        <v>3.15</v>
      </c>
      <c r="I596" s="4">
        <v>0</v>
      </c>
    </row>
    <row r="597" spans="1:9" x14ac:dyDescent="0.2">
      <c r="A597" s="2">
        <v>14</v>
      </c>
      <c r="B597" s="1" t="s">
        <v>99</v>
      </c>
      <c r="C597" s="4">
        <v>200</v>
      </c>
      <c r="D597" s="8">
        <v>2.06</v>
      </c>
      <c r="E597" s="4">
        <v>13</v>
      </c>
      <c r="F597" s="8">
        <v>0.34</v>
      </c>
      <c r="G597" s="4">
        <v>187</v>
      </c>
      <c r="H597" s="8">
        <v>3.18</v>
      </c>
      <c r="I597" s="4">
        <v>0</v>
      </c>
    </row>
    <row r="598" spans="1:9" x14ac:dyDescent="0.2">
      <c r="A598" s="2">
        <v>15</v>
      </c>
      <c r="B598" s="1" t="s">
        <v>95</v>
      </c>
      <c r="C598" s="4">
        <v>192</v>
      </c>
      <c r="D598" s="8">
        <v>1.98</v>
      </c>
      <c r="E598" s="4">
        <v>64</v>
      </c>
      <c r="F598" s="8">
        <v>1.69</v>
      </c>
      <c r="G598" s="4">
        <v>128</v>
      </c>
      <c r="H598" s="8">
        <v>2.1800000000000002</v>
      </c>
      <c r="I598" s="4">
        <v>0</v>
      </c>
    </row>
    <row r="599" spans="1:9" x14ac:dyDescent="0.2">
      <c r="A599" s="2">
        <v>16</v>
      </c>
      <c r="B599" s="1" t="s">
        <v>93</v>
      </c>
      <c r="C599" s="4">
        <v>184</v>
      </c>
      <c r="D599" s="8">
        <v>1.89</v>
      </c>
      <c r="E599" s="4">
        <v>12</v>
      </c>
      <c r="F599" s="8">
        <v>0.32</v>
      </c>
      <c r="G599" s="4">
        <v>172</v>
      </c>
      <c r="H599" s="8">
        <v>2.93</v>
      </c>
      <c r="I599" s="4">
        <v>0</v>
      </c>
    </row>
    <row r="600" spans="1:9" x14ac:dyDescent="0.2">
      <c r="A600" s="2">
        <v>17</v>
      </c>
      <c r="B600" s="1" t="s">
        <v>132</v>
      </c>
      <c r="C600" s="4">
        <v>171</v>
      </c>
      <c r="D600" s="8">
        <v>1.76</v>
      </c>
      <c r="E600" s="4">
        <v>8</v>
      </c>
      <c r="F600" s="8">
        <v>0.21</v>
      </c>
      <c r="G600" s="4">
        <v>156</v>
      </c>
      <c r="H600" s="8">
        <v>2.65</v>
      </c>
      <c r="I600" s="4">
        <v>2</v>
      </c>
    </row>
    <row r="601" spans="1:9" x14ac:dyDescent="0.2">
      <c r="A601" s="2">
        <v>18</v>
      </c>
      <c r="B601" s="1" t="s">
        <v>107</v>
      </c>
      <c r="C601" s="4">
        <v>148</v>
      </c>
      <c r="D601" s="8">
        <v>1.52</v>
      </c>
      <c r="E601" s="4">
        <v>12</v>
      </c>
      <c r="F601" s="8">
        <v>0.32</v>
      </c>
      <c r="G601" s="4">
        <v>133</v>
      </c>
      <c r="H601" s="8">
        <v>2.2599999999999998</v>
      </c>
      <c r="I601" s="4">
        <v>2</v>
      </c>
    </row>
    <row r="602" spans="1:9" x14ac:dyDescent="0.2">
      <c r="A602" s="2">
        <v>19</v>
      </c>
      <c r="B602" s="1" t="s">
        <v>115</v>
      </c>
      <c r="C602" s="4">
        <v>144</v>
      </c>
      <c r="D602" s="8">
        <v>1.48</v>
      </c>
      <c r="E602" s="4">
        <v>44</v>
      </c>
      <c r="F602" s="8">
        <v>1.1599999999999999</v>
      </c>
      <c r="G602" s="4">
        <v>96</v>
      </c>
      <c r="H602" s="8">
        <v>1.63</v>
      </c>
      <c r="I602" s="4">
        <v>1</v>
      </c>
    </row>
    <row r="603" spans="1:9" x14ac:dyDescent="0.2">
      <c r="A603" s="2">
        <v>20</v>
      </c>
      <c r="B603" s="1" t="s">
        <v>94</v>
      </c>
      <c r="C603" s="4">
        <v>140</v>
      </c>
      <c r="D603" s="8">
        <v>1.44</v>
      </c>
      <c r="E603" s="4">
        <v>15</v>
      </c>
      <c r="F603" s="8">
        <v>0.39</v>
      </c>
      <c r="G603" s="4">
        <v>124</v>
      </c>
      <c r="H603" s="8">
        <v>2.11</v>
      </c>
      <c r="I603" s="4">
        <v>1</v>
      </c>
    </row>
    <row r="604" spans="1:9" x14ac:dyDescent="0.2">
      <c r="A604" s="1"/>
      <c r="C604" s="4"/>
      <c r="D604" s="8"/>
      <c r="E604" s="4"/>
      <c r="F604" s="8"/>
      <c r="G604" s="4"/>
      <c r="H604" s="8"/>
      <c r="I604" s="4"/>
    </row>
    <row r="605" spans="1:9" x14ac:dyDescent="0.2">
      <c r="A605" s="1" t="s">
        <v>27</v>
      </c>
      <c r="C605" s="4"/>
      <c r="D605" s="8"/>
      <c r="E605" s="4"/>
      <c r="F605" s="8"/>
      <c r="G605" s="4"/>
      <c r="H605" s="8"/>
      <c r="I605" s="4"/>
    </row>
    <row r="606" spans="1:9" x14ac:dyDescent="0.2">
      <c r="A606" s="2">
        <v>1</v>
      </c>
      <c r="B606" s="1" t="s">
        <v>100</v>
      </c>
      <c r="C606" s="4">
        <v>390</v>
      </c>
      <c r="D606" s="8">
        <v>10.61</v>
      </c>
      <c r="E606" s="4">
        <v>76</v>
      </c>
      <c r="F606" s="8">
        <v>6.06</v>
      </c>
      <c r="G606" s="4">
        <v>313</v>
      </c>
      <c r="H606" s="8">
        <v>13.04</v>
      </c>
      <c r="I606" s="4">
        <v>0</v>
      </c>
    </row>
    <row r="607" spans="1:9" x14ac:dyDescent="0.2">
      <c r="A607" s="2">
        <v>2</v>
      </c>
      <c r="B607" s="1" t="s">
        <v>103</v>
      </c>
      <c r="C607" s="4">
        <v>374</v>
      </c>
      <c r="D607" s="8">
        <v>10.17</v>
      </c>
      <c r="E607" s="4">
        <v>271</v>
      </c>
      <c r="F607" s="8">
        <v>21.59</v>
      </c>
      <c r="G607" s="4">
        <v>103</v>
      </c>
      <c r="H607" s="8">
        <v>4.29</v>
      </c>
      <c r="I607" s="4">
        <v>0</v>
      </c>
    </row>
    <row r="608" spans="1:9" x14ac:dyDescent="0.2">
      <c r="A608" s="2">
        <v>3</v>
      </c>
      <c r="B608" s="1" t="s">
        <v>104</v>
      </c>
      <c r="C608" s="4">
        <v>300</v>
      </c>
      <c r="D608" s="8">
        <v>8.16</v>
      </c>
      <c r="E608" s="4">
        <v>217</v>
      </c>
      <c r="F608" s="8">
        <v>17.29</v>
      </c>
      <c r="G608" s="4">
        <v>83</v>
      </c>
      <c r="H608" s="8">
        <v>3.46</v>
      </c>
      <c r="I608" s="4">
        <v>0</v>
      </c>
    </row>
    <row r="609" spans="1:9" x14ac:dyDescent="0.2">
      <c r="A609" s="2">
        <v>4</v>
      </c>
      <c r="B609" s="1" t="s">
        <v>98</v>
      </c>
      <c r="C609" s="4">
        <v>211</v>
      </c>
      <c r="D609" s="8">
        <v>5.74</v>
      </c>
      <c r="E609" s="4">
        <v>61</v>
      </c>
      <c r="F609" s="8">
        <v>4.8600000000000003</v>
      </c>
      <c r="G609" s="4">
        <v>150</v>
      </c>
      <c r="H609" s="8">
        <v>6.25</v>
      </c>
      <c r="I609" s="4">
        <v>0</v>
      </c>
    </row>
    <row r="610" spans="1:9" x14ac:dyDescent="0.2">
      <c r="A610" s="2">
        <v>5</v>
      </c>
      <c r="B610" s="1" t="s">
        <v>101</v>
      </c>
      <c r="C610" s="4">
        <v>206</v>
      </c>
      <c r="D610" s="8">
        <v>5.6</v>
      </c>
      <c r="E610" s="4">
        <v>125</v>
      </c>
      <c r="F610" s="8">
        <v>9.9600000000000009</v>
      </c>
      <c r="G610" s="4">
        <v>81</v>
      </c>
      <c r="H610" s="8">
        <v>3.37</v>
      </c>
      <c r="I610" s="4">
        <v>0</v>
      </c>
    </row>
    <row r="611" spans="1:9" x14ac:dyDescent="0.2">
      <c r="A611" s="2">
        <v>6</v>
      </c>
      <c r="B611" s="1" t="s">
        <v>88</v>
      </c>
      <c r="C611" s="4">
        <v>182</v>
      </c>
      <c r="D611" s="8">
        <v>4.95</v>
      </c>
      <c r="E611" s="4">
        <v>18</v>
      </c>
      <c r="F611" s="8">
        <v>1.43</v>
      </c>
      <c r="G611" s="4">
        <v>164</v>
      </c>
      <c r="H611" s="8">
        <v>6.83</v>
      </c>
      <c r="I611" s="4">
        <v>0</v>
      </c>
    </row>
    <row r="612" spans="1:9" x14ac:dyDescent="0.2">
      <c r="A612" s="2">
        <v>7</v>
      </c>
      <c r="B612" s="1" t="s">
        <v>106</v>
      </c>
      <c r="C612" s="4">
        <v>149</v>
      </c>
      <c r="D612" s="8">
        <v>4.05</v>
      </c>
      <c r="E612" s="4">
        <v>115</v>
      </c>
      <c r="F612" s="8">
        <v>9.16</v>
      </c>
      <c r="G612" s="4">
        <v>34</v>
      </c>
      <c r="H612" s="8">
        <v>1.42</v>
      </c>
      <c r="I612" s="4">
        <v>0</v>
      </c>
    </row>
    <row r="613" spans="1:9" x14ac:dyDescent="0.2">
      <c r="A613" s="2">
        <v>8</v>
      </c>
      <c r="B613" s="1" t="s">
        <v>96</v>
      </c>
      <c r="C613" s="4">
        <v>145</v>
      </c>
      <c r="D613" s="8">
        <v>3.94</v>
      </c>
      <c r="E613" s="4">
        <v>52</v>
      </c>
      <c r="F613" s="8">
        <v>4.1399999999999997</v>
      </c>
      <c r="G613" s="4">
        <v>93</v>
      </c>
      <c r="H613" s="8">
        <v>3.87</v>
      </c>
      <c r="I613" s="4">
        <v>0</v>
      </c>
    </row>
    <row r="614" spans="1:9" x14ac:dyDescent="0.2">
      <c r="A614" s="2">
        <v>8</v>
      </c>
      <c r="B614" s="1" t="s">
        <v>105</v>
      </c>
      <c r="C614" s="4">
        <v>145</v>
      </c>
      <c r="D614" s="8">
        <v>3.94</v>
      </c>
      <c r="E614" s="4">
        <v>76</v>
      </c>
      <c r="F614" s="8">
        <v>6.06</v>
      </c>
      <c r="G614" s="4">
        <v>62</v>
      </c>
      <c r="H614" s="8">
        <v>2.58</v>
      </c>
      <c r="I614" s="4">
        <v>1</v>
      </c>
    </row>
    <row r="615" spans="1:9" x14ac:dyDescent="0.2">
      <c r="A615" s="2">
        <v>10</v>
      </c>
      <c r="B615" s="1" t="s">
        <v>89</v>
      </c>
      <c r="C615" s="4">
        <v>143</v>
      </c>
      <c r="D615" s="8">
        <v>3.89</v>
      </c>
      <c r="E615" s="4">
        <v>25</v>
      </c>
      <c r="F615" s="8">
        <v>1.99</v>
      </c>
      <c r="G615" s="4">
        <v>118</v>
      </c>
      <c r="H615" s="8">
        <v>4.91</v>
      </c>
      <c r="I615" s="4">
        <v>0</v>
      </c>
    </row>
    <row r="616" spans="1:9" x14ac:dyDescent="0.2">
      <c r="A616" s="2">
        <v>11</v>
      </c>
      <c r="B616" s="1" t="s">
        <v>90</v>
      </c>
      <c r="C616" s="4">
        <v>140</v>
      </c>
      <c r="D616" s="8">
        <v>3.81</v>
      </c>
      <c r="E616" s="4">
        <v>14</v>
      </c>
      <c r="F616" s="8">
        <v>1.1200000000000001</v>
      </c>
      <c r="G616" s="4">
        <v>126</v>
      </c>
      <c r="H616" s="8">
        <v>5.25</v>
      </c>
      <c r="I616" s="4">
        <v>0</v>
      </c>
    </row>
    <row r="617" spans="1:9" x14ac:dyDescent="0.2">
      <c r="A617" s="2">
        <v>12</v>
      </c>
      <c r="B617" s="1" t="s">
        <v>95</v>
      </c>
      <c r="C617" s="4">
        <v>118</v>
      </c>
      <c r="D617" s="8">
        <v>3.21</v>
      </c>
      <c r="E617" s="4">
        <v>18</v>
      </c>
      <c r="F617" s="8">
        <v>1.43</v>
      </c>
      <c r="G617" s="4">
        <v>100</v>
      </c>
      <c r="H617" s="8">
        <v>4.16</v>
      </c>
      <c r="I617" s="4">
        <v>0</v>
      </c>
    </row>
    <row r="618" spans="1:9" x14ac:dyDescent="0.2">
      <c r="A618" s="2">
        <v>13</v>
      </c>
      <c r="B618" s="1" t="s">
        <v>102</v>
      </c>
      <c r="C618" s="4">
        <v>89</v>
      </c>
      <c r="D618" s="8">
        <v>2.42</v>
      </c>
      <c r="E618" s="4">
        <v>28</v>
      </c>
      <c r="F618" s="8">
        <v>2.23</v>
      </c>
      <c r="G618" s="4">
        <v>61</v>
      </c>
      <c r="H618" s="8">
        <v>2.54</v>
      </c>
      <c r="I618" s="4">
        <v>0</v>
      </c>
    </row>
    <row r="619" spans="1:9" x14ac:dyDescent="0.2">
      <c r="A619" s="2">
        <v>14</v>
      </c>
      <c r="B619" s="1" t="s">
        <v>99</v>
      </c>
      <c r="C619" s="4">
        <v>88</v>
      </c>
      <c r="D619" s="8">
        <v>2.39</v>
      </c>
      <c r="E619" s="4">
        <v>5</v>
      </c>
      <c r="F619" s="8">
        <v>0.4</v>
      </c>
      <c r="G619" s="4">
        <v>83</v>
      </c>
      <c r="H619" s="8">
        <v>3.46</v>
      </c>
      <c r="I619" s="4">
        <v>0</v>
      </c>
    </row>
    <row r="620" spans="1:9" x14ac:dyDescent="0.2">
      <c r="A620" s="2">
        <v>15</v>
      </c>
      <c r="B620" s="1" t="s">
        <v>107</v>
      </c>
      <c r="C620" s="4">
        <v>80</v>
      </c>
      <c r="D620" s="8">
        <v>2.1800000000000002</v>
      </c>
      <c r="E620" s="4">
        <v>1</v>
      </c>
      <c r="F620" s="8">
        <v>0.08</v>
      </c>
      <c r="G620" s="4">
        <v>76</v>
      </c>
      <c r="H620" s="8">
        <v>3.17</v>
      </c>
      <c r="I620" s="4">
        <v>3</v>
      </c>
    </row>
    <row r="621" spans="1:9" x14ac:dyDescent="0.2">
      <c r="A621" s="2">
        <v>16</v>
      </c>
      <c r="B621" s="1" t="s">
        <v>93</v>
      </c>
      <c r="C621" s="4">
        <v>76</v>
      </c>
      <c r="D621" s="8">
        <v>2.0699999999999998</v>
      </c>
      <c r="E621" s="4">
        <v>2</v>
      </c>
      <c r="F621" s="8">
        <v>0.16</v>
      </c>
      <c r="G621" s="4">
        <v>74</v>
      </c>
      <c r="H621" s="8">
        <v>3.08</v>
      </c>
      <c r="I621" s="4">
        <v>0</v>
      </c>
    </row>
    <row r="622" spans="1:9" x14ac:dyDescent="0.2">
      <c r="A622" s="2">
        <v>17</v>
      </c>
      <c r="B622" s="1" t="s">
        <v>97</v>
      </c>
      <c r="C622" s="4">
        <v>73</v>
      </c>
      <c r="D622" s="8">
        <v>1.99</v>
      </c>
      <c r="E622" s="4">
        <v>32</v>
      </c>
      <c r="F622" s="8">
        <v>2.5499999999999998</v>
      </c>
      <c r="G622" s="4">
        <v>41</v>
      </c>
      <c r="H622" s="8">
        <v>1.71</v>
      </c>
      <c r="I622" s="4">
        <v>0</v>
      </c>
    </row>
    <row r="623" spans="1:9" x14ac:dyDescent="0.2">
      <c r="A623" s="2">
        <v>18</v>
      </c>
      <c r="B623" s="1" t="s">
        <v>91</v>
      </c>
      <c r="C623" s="4">
        <v>58</v>
      </c>
      <c r="D623" s="8">
        <v>1.58</v>
      </c>
      <c r="E623" s="4">
        <v>1</v>
      </c>
      <c r="F623" s="8">
        <v>0.08</v>
      </c>
      <c r="G623" s="4">
        <v>57</v>
      </c>
      <c r="H623" s="8">
        <v>2.37</v>
      </c>
      <c r="I623" s="4">
        <v>0</v>
      </c>
    </row>
    <row r="624" spans="1:9" x14ac:dyDescent="0.2">
      <c r="A624" s="2">
        <v>19</v>
      </c>
      <c r="B624" s="1" t="s">
        <v>132</v>
      </c>
      <c r="C624" s="4">
        <v>55</v>
      </c>
      <c r="D624" s="8">
        <v>1.5</v>
      </c>
      <c r="E624" s="4">
        <v>2</v>
      </c>
      <c r="F624" s="8">
        <v>0.16</v>
      </c>
      <c r="G624" s="4">
        <v>48</v>
      </c>
      <c r="H624" s="8">
        <v>2</v>
      </c>
      <c r="I624" s="4">
        <v>0</v>
      </c>
    </row>
    <row r="625" spans="1:9" x14ac:dyDescent="0.2">
      <c r="A625" s="2">
        <v>20</v>
      </c>
      <c r="B625" s="1" t="s">
        <v>94</v>
      </c>
      <c r="C625" s="4">
        <v>54</v>
      </c>
      <c r="D625" s="8">
        <v>1.47</v>
      </c>
      <c r="E625" s="4">
        <v>10</v>
      </c>
      <c r="F625" s="8">
        <v>0.8</v>
      </c>
      <c r="G625" s="4">
        <v>44</v>
      </c>
      <c r="H625" s="8">
        <v>1.83</v>
      </c>
      <c r="I625" s="4">
        <v>0</v>
      </c>
    </row>
    <row r="626" spans="1:9" x14ac:dyDescent="0.2">
      <c r="A626" s="1"/>
      <c r="C626" s="4"/>
      <c r="D626" s="8"/>
      <c r="E626" s="4"/>
      <c r="F626" s="8"/>
      <c r="G626" s="4"/>
      <c r="H626" s="8"/>
      <c r="I626" s="4"/>
    </row>
    <row r="627" spans="1:9" x14ac:dyDescent="0.2">
      <c r="A627" s="1" t="s">
        <v>28</v>
      </c>
      <c r="C627" s="4"/>
      <c r="D627" s="8"/>
      <c r="E627" s="4"/>
      <c r="F627" s="8"/>
      <c r="G627" s="4"/>
      <c r="H627" s="8"/>
      <c r="I627" s="4"/>
    </row>
    <row r="628" spans="1:9" x14ac:dyDescent="0.2">
      <c r="A628" s="2">
        <v>1</v>
      </c>
      <c r="B628" s="1" t="s">
        <v>100</v>
      </c>
      <c r="C628" s="4">
        <v>722</v>
      </c>
      <c r="D628" s="8">
        <v>17.010000000000002</v>
      </c>
      <c r="E628" s="4">
        <v>231</v>
      </c>
      <c r="F628" s="8">
        <v>13.95</v>
      </c>
      <c r="G628" s="4">
        <v>491</v>
      </c>
      <c r="H628" s="8">
        <v>19.010000000000002</v>
      </c>
      <c r="I628" s="4">
        <v>0</v>
      </c>
    </row>
    <row r="629" spans="1:9" x14ac:dyDescent="0.2">
      <c r="A629" s="2">
        <v>2</v>
      </c>
      <c r="B629" s="1" t="s">
        <v>103</v>
      </c>
      <c r="C629" s="4">
        <v>489</v>
      </c>
      <c r="D629" s="8">
        <v>11.52</v>
      </c>
      <c r="E629" s="4">
        <v>327</v>
      </c>
      <c r="F629" s="8">
        <v>19.75</v>
      </c>
      <c r="G629" s="4">
        <v>161</v>
      </c>
      <c r="H629" s="8">
        <v>6.23</v>
      </c>
      <c r="I629" s="4">
        <v>1</v>
      </c>
    </row>
    <row r="630" spans="1:9" x14ac:dyDescent="0.2">
      <c r="A630" s="2">
        <v>3</v>
      </c>
      <c r="B630" s="1" t="s">
        <v>104</v>
      </c>
      <c r="C630" s="4">
        <v>385</v>
      </c>
      <c r="D630" s="8">
        <v>9.07</v>
      </c>
      <c r="E630" s="4">
        <v>264</v>
      </c>
      <c r="F630" s="8">
        <v>15.94</v>
      </c>
      <c r="G630" s="4">
        <v>121</v>
      </c>
      <c r="H630" s="8">
        <v>4.68</v>
      </c>
      <c r="I630" s="4">
        <v>0</v>
      </c>
    </row>
    <row r="631" spans="1:9" x14ac:dyDescent="0.2">
      <c r="A631" s="2">
        <v>4</v>
      </c>
      <c r="B631" s="1" t="s">
        <v>98</v>
      </c>
      <c r="C631" s="4">
        <v>325</v>
      </c>
      <c r="D631" s="8">
        <v>7.66</v>
      </c>
      <c r="E631" s="4">
        <v>129</v>
      </c>
      <c r="F631" s="8">
        <v>7.79</v>
      </c>
      <c r="G631" s="4">
        <v>196</v>
      </c>
      <c r="H631" s="8">
        <v>7.59</v>
      </c>
      <c r="I631" s="4">
        <v>0</v>
      </c>
    </row>
    <row r="632" spans="1:9" x14ac:dyDescent="0.2">
      <c r="A632" s="2">
        <v>5</v>
      </c>
      <c r="B632" s="1" t="s">
        <v>101</v>
      </c>
      <c r="C632" s="4">
        <v>296</v>
      </c>
      <c r="D632" s="8">
        <v>6.97</v>
      </c>
      <c r="E632" s="4">
        <v>146</v>
      </c>
      <c r="F632" s="8">
        <v>8.82</v>
      </c>
      <c r="G632" s="4">
        <v>149</v>
      </c>
      <c r="H632" s="8">
        <v>5.77</v>
      </c>
      <c r="I632" s="4">
        <v>1</v>
      </c>
    </row>
    <row r="633" spans="1:9" x14ac:dyDescent="0.2">
      <c r="A633" s="2">
        <v>6</v>
      </c>
      <c r="B633" s="1" t="s">
        <v>106</v>
      </c>
      <c r="C633" s="4">
        <v>217</v>
      </c>
      <c r="D633" s="8">
        <v>5.1100000000000003</v>
      </c>
      <c r="E633" s="4">
        <v>166</v>
      </c>
      <c r="F633" s="8">
        <v>10.02</v>
      </c>
      <c r="G633" s="4">
        <v>51</v>
      </c>
      <c r="H633" s="8">
        <v>1.97</v>
      </c>
      <c r="I633" s="4">
        <v>0</v>
      </c>
    </row>
    <row r="634" spans="1:9" x14ac:dyDescent="0.2">
      <c r="A634" s="2">
        <v>7</v>
      </c>
      <c r="B634" s="1" t="s">
        <v>105</v>
      </c>
      <c r="C634" s="4">
        <v>209</v>
      </c>
      <c r="D634" s="8">
        <v>4.92</v>
      </c>
      <c r="E634" s="4">
        <v>108</v>
      </c>
      <c r="F634" s="8">
        <v>6.52</v>
      </c>
      <c r="G634" s="4">
        <v>101</v>
      </c>
      <c r="H634" s="8">
        <v>3.91</v>
      </c>
      <c r="I634" s="4">
        <v>0</v>
      </c>
    </row>
    <row r="635" spans="1:9" x14ac:dyDescent="0.2">
      <c r="A635" s="2">
        <v>8</v>
      </c>
      <c r="B635" s="1" t="s">
        <v>95</v>
      </c>
      <c r="C635" s="4">
        <v>196</v>
      </c>
      <c r="D635" s="8">
        <v>4.62</v>
      </c>
      <c r="E635" s="4">
        <v>50</v>
      </c>
      <c r="F635" s="8">
        <v>3.02</v>
      </c>
      <c r="G635" s="4">
        <v>146</v>
      </c>
      <c r="H635" s="8">
        <v>5.65</v>
      </c>
      <c r="I635" s="4">
        <v>0</v>
      </c>
    </row>
    <row r="636" spans="1:9" x14ac:dyDescent="0.2">
      <c r="A636" s="2">
        <v>9</v>
      </c>
      <c r="B636" s="1" t="s">
        <v>99</v>
      </c>
      <c r="C636" s="4">
        <v>144</v>
      </c>
      <c r="D636" s="8">
        <v>3.39</v>
      </c>
      <c r="E636" s="4">
        <v>3</v>
      </c>
      <c r="F636" s="8">
        <v>0.18</v>
      </c>
      <c r="G636" s="4">
        <v>141</v>
      </c>
      <c r="H636" s="8">
        <v>5.46</v>
      </c>
      <c r="I636" s="4">
        <v>0</v>
      </c>
    </row>
    <row r="637" spans="1:9" x14ac:dyDescent="0.2">
      <c r="A637" s="2">
        <v>10</v>
      </c>
      <c r="B637" s="1" t="s">
        <v>96</v>
      </c>
      <c r="C637" s="4">
        <v>143</v>
      </c>
      <c r="D637" s="8">
        <v>3.37</v>
      </c>
      <c r="E637" s="4">
        <v>60</v>
      </c>
      <c r="F637" s="8">
        <v>3.62</v>
      </c>
      <c r="G637" s="4">
        <v>83</v>
      </c>
      <c r="H637" s="8">
        <v>3.21</v>
      </c>
      <c r="I637" s="4">
        <v>0</v>
      </c>
    </row>
    <row r="638" spans="1:9" x14ac:dyDescent="0.2">
      <c r="A638" s="2">
        <v>11</v>
      </c>
      <c r="B638" s="1" t="s">
        <v>88</v>
      </c>
      <c r="C638" s="4">
        <v>101</v>
      </c>
      <c r="D638" s="8">
        <v>2.38</v>
      </c>
      <c r="E638" s="4">
        <v>12</v>
      </c>
      <c r="F638" s="8">
        <v>0.72</v>
      </c>
      <c r="G638" s="4">
        <v>89</v>
      </c>
      <c r="H638" s="8">
        <v>3.45</v>
      </c>
      <c r="I638" s="4">
        <v>0</v>
      </c>
    </row>
    <row r="639" spans="1:9" x14ac:dyDescent="0.2">
      <c r="A639" s="2">
        <v>12</v>
      </c>
      <c r="B639" s="1" t="s">
        <v>102</v>
      </c>
      <c r="C639" s="4">
        <v>83</v>
      </c>
      <c r="D639" s="8">
        <v>1.96</v>
      </c>
      <c r="E639" s="4">
        <v>26</v>
      </c>
      <c r="F639" s="8">
        <v>1.57</v>
      </c>
      <c r="G639" s="4">
        <v>57</v>
      </c>
      <c r="H639" s="8">
        <v>2.21</v>
      </c>
      <c r="I639" s="4">
        <v>0</v>
      </c>
    </row>
    <row r="640" spans="1:9" x14ac:dyDescent="0.2">
      <c r="A640" s="2">
        <v>13</v>
      </c>
      <c r="B640" s="1" t="s">
        <v>107</v>
      </c>
      <c r="C640" s="4">
        <v>71</v>
      </c>
      <c r="D640" s="8">
        <v>1.67</v>
      </c>
      <c r="E640" s="4">
        <v>2</v>
      </c>
      <c r="F640" s="8">
        <v>0.12</v>
      </c>
      <c r="G640" s="4">
        <v>68</v>
      </c>
      <c r="H640" s="8">
        <v>2.63</v>
      </c>
      <c r="I640" s="4">
        <v>1</v>
      </c>
    </row>
    <row r="641" spans="1:9" x14ac:dyDescent="0.2">
      <c r="A641" s="2">
        <v>14</v>
      </c>
      <c r="B641" s="1" t="s">
        <v>92</v>
      </c>
      <c r="C641" s="4">
        <v>69</v>
      </c>
      <c r="D641" s="8">
        <v>1.63</v>
      </c>
      <c r="E641" s="4">
        <v>4</v>
      </c>
      <c r="F641" s="8">
        <v>0.24</v>
      </c>
      <c r="G641" s="4">
        <v>65</v>
      </c>
      <c r="H641" s="8">
        <v>2.52</v>
      </c>
      <c r="I641" s="4">
        <v>0</v>
      </c>
    </row>
    <row r="642" spans="1:9" x14ac:dyDescent="0.2">
      <c r="A642" s="2">
        <v>15</v>
      </c>
      <c r="B642" s="1" t="s">
        <v>91</v>
      </c>
      <c r="C642" s="4">
        <v>68</v>
      </c>
      <c r="D642" s="8">
        <v>1.6</v>
      </c>
      <c r="E642" s="4">
        <v>1</v>
      </c>
      <c r="F642" s="8">
        <v>0.06</v>
      </c>
      <c r="G642" s="4">
        <v>66</v>
      </c>
      <c r="H642" s="8">
        <v>2.56</v>
      </c>
      <c r="I642" s="4">
        <v>1</v>
      </c>
    </row>
    <row r="643" spans="1:9" x14ac:dyDescent="0.2">
      <c r="A643" s="2">
        <v>16</v>
      </c>
      <c r="B643" s="1" t="s">
        <v>89</v>
      </c>
      <c r="C643" s="4">
        <v>65</v>
      </c>
      <c r="D643" s="8">
        <v>1.53</v>
      </c>
      <c r="E643" s="4">
        <v>11</v>
      </c>
      <c r="F643" s="8">
        <v>0.66</v>
      </c>
      <c r="G643" s="4">
        <v>54</v>
      </c>
      <c r="H643" s="8">
        <v>2.09</v>
      </c>
      <c r="I643" s="4">
        <v>0</v>
      </c>
    </row>
    <row r="644" spans="1:9" x14ac:dyDescent="0.2">
      <c r="A644" s="2">
        <v>17</v>
      </c>
      <c r="B644" s="1" t="s">
        <v>115</v>
      </c>
      <c r="C644" s="4">
        <v>58</v>
      </c>
      <c r="D644" s="8">
        <v>1.37</v>
      </c>
      <c r="E644" s="4">
        <v>22</v>
      </c>
      <c r="F644" s="8">
        <v>1.33</v>
      </c>
      <c r="G644" s="4">
        <v>36</v>
      </c>
      <c r="H644" s="8">
        <v>1.39</v>
      </c>
      <c r="I644" s="4">
        <v>0</v>
      </c>
    </row>
    <row r="645" spans="1:9" x14ac:dyDescent="0.2">
      <c r="A645" s="2">
        <v>18</v>
      </c>
      <c r="B645" s="1" t="s">
        <v>97</v>
      </c>
      <c r="C645" s="4">
        <v>52</v>
      </c>
      <c r="D645" s="8">
        <v>1.23</v>
      </c>
      <c r="E645" s="4">
        <v>18</v>
      </c>
      <c r="F645" s="8">
        <v>1.0900000000000001</v>
      </c>
      <c r="G645" s="4">
        <v>34</v>
      </c>
      <c r="H645" s="8">
        <v>1.32</v>
      </c>
      <c r="I645" s="4">
        <v>0</v>
      </c>
    </row>
    <row r="646" spans="1:9" x14ac:dyDescent="0.2">
      <c r="A646" s="2">
        <v>19</v>
      </c>
      <c r="B646" s="1" t="s">
        <v>90</v>
      </c>
      <c r="C646" s="4">
        <v>46</v>
      </c>
      <c r="D646" s="8">
        <v>1.08</v>
      </c>
      <c r="E646" s="4">
        <v>8</v>
      </c>
      <c r="F646" s="8">
        <v>0.48</v>
      </c>
      <c r="G646" s="4">
        <v>38</v>
      </c>
      <c r="H646" s="8">
        <v>1.47</v>
      </c>
      <c r="I646" s="4">
        <v>0</v>
      </c>
    </row>
    <row r="647" spans="1:9" x14ac:dyDescent="0.2">
      <c r="A647" s="2">
        <v>20</v>
      </c>
      <c r="B647" s="1" t="s">
        <v>132</v>
      </c>
      <c r="C647" s="4">
        <v>44</v>
      </c>
      <c r="D647" s="8">
        <v>1.04</v>
      </c>
      <c r="E647" s="4">
        <v>0</v>
      </c>
      <c r="F647" s="8">
        <v>0</v>
      </c>
      <c r="G647" s="4">
        <v>44</v>
      </c>
      <c r="H647" s="8">
        <v>1.7</v>
      </c>
      <c r="I647" s="4">
        <v>0</v>
      </c>
    </row>
    <row r="648" spans="1:9" x14ac:dyDescent="0.2">
      <c r="A648" s="1"/>
      <c r="C648" s="4"/>
      <c r="D648" s="8"/>
      <c r="E648" s="4"/>
      <c r="F648" s="8"/>
      <c r="G648" s="4"/>
      <c r="H648" s="8"/>
      <c r="I648" s="4"/>
    </row>
    <row r="649" spans="1:9" x14ac:dyDescent="0.2">
      <c r="A649" s="1" t="s">
        <v>29</v>
      </c>
      <c r="C649" s="4"/>
      <c r="D649" s="8"/>
      <c r="E649" s="4"/>
      <c r="F649" s="8"/>
      <c r="G649" s="4"/>
      <c r="H649" s="8"/>
      <c r="I649" s="4"/>
    </row>
    <row r="650" spans="1:9" x14ac:dyDescent="0.2">
      <c r="A650" s="2">
        <v>1</v>
      </c>
      <c r="B650" s="1" t="s">
        <v>100</v>
      </c>
      <c r="C650" s="4">
        <v>709</v>
      </c>
      <c r="D650" s="8">
        <v>23.49</v>
      </c>
      <c r="E650" s="4">
        <v>391</v>
      </c>
      <c r="F650" s="8">
        <v>30.48</v>
      </c>
      <c r="G650" s="4">
        <v>318</v>
      </c>
      <c r="H650" s="8">
        <v>18.34</v>
      </c>
      <c r="I650" s="4">
        <v>0</v>
      </c>
    </row>
    <row r="651" spans="1:9" x14ac:dyDescent="0.2">
      <c r="A651" s="2">
        <v>2</v>
      </c>
      <c r="B651" s="1" t="s">
        <v>103</v>
      </c>
      <c r="C651" s="4">
        <v>236</v>
      </c>
      <c r="D651" s="8">
        <v>7.82</v>
      </c>
      <c r="E651" s="4">
        <v>182</v>
      </c>
      <c r="F651" s="8">
        <v>14.19</v>
      </c>
      <c r="G651" s="4">
        <v>54</v>
      </c>
      <c r="H651" s="8">
        <v>3.11</v>
      </c>
      <c r="I651" s="4">
        <v>0</v>
      </c>
    </row>
    <row r="652" spans="1:9" x14ac:dyDescent="0.2">
      <c r="A652" s="2">
        <v>3</v>
      </c>
      <c r="B652" s="1" t="s">
        <v>104</v>
      </c>
      <c r="C652" s="4">
        <v>212</v>
      </c>
      <c r="D652" s="8">
        <v>7.02</v>
      </c>
      <c r="E652" s="4">
        <v>169</v>
      </c>
      <c r="F652" s="8">
        <v>13.17</v>
      </c>
      <c r="G652" s="4">
        <v>43</v>
      </c>
      <c r="H652" s="8">
        <v>2.48</v>
      </c>
      <c r="I652" s="4">
        <v>0</v>
      </c>
    </row>
    <row r="653" spans="1:9" x14ac:dyDescent="0.2">
      <c r="A653" s="2">
        <v>4</v>
      </c>
      <c r="B653" s="1" t="s">
        <v>88</v>
      </c>
      <c r="C653" s="4">
        <v>166</v>
      </c>
      <c r="D653" s="8">
        <v>5.5</v>
      </c>
      <c r="E653" s="4">
        <v>15</v>
      </c>
      <c r="F653" s="8">
        <v>1.17</v>
      </c>
      <c r="G653" s="4">
        <v>151</v>
      </c>
      <c r="H653" s="8">
        <v>8.7100000000000009</v>
      </c>
      <c r="I653" s="4">
        <v>0</v>
      </c>
    </row>
    <row r="654" spans="1:9" x14ac:dyDescent="0.2">
      <c r="A654" s="2">
        <v>5</v>
      </c>
      <c r="B654" s="1" t="s">
        <v>101</v>
      </c>
      <c r="C654" s="4">
        <v>148</v>
      </c>
      <c r="D654" s="8">
        <v>4.9000000000000004</v>
      </c>
      <c r="E654" s="4">
        <v>62</v>
      </c>
      <c r="F654" s="8">
        <v>4.83</v>
      </c>
      <c r="G654" s="4">
        <v>86</v>
      </c>
      <c r="H654" s="8">
        <v>4.96</v>
      </c>
      <c r="I654" s="4">
        <v>0</v>
      </c>
    </row>
    <row r="655" spans="1:9" x14ac:dyDescent="0.2">
      <c r="A655" s="2">
        <v>6</v>
      </c>
      <c r="B655" s="1" t="s">
        <v>89</v>
      </c>
      <c r="C655" s="4">
        <v>135</v>
      </c>
      <c r="D655" s="8">
        <v>4.47</v>
      </c>
      <c r="E655" s="4">
        <v>29</v>
      </c>
      <c r="F655" s="8">
        <v>2.2599999999999998</v>
      </c>
      <c r="G655" s="4">
        <v>106</v>
      </c>
      <c r="H655" s="8">
        <v>6.11</v>
      </c>
      <c r="I655" s="4">
        <v>0</v>
      </c>
    </row>
    <row r="656" spans="1:9" x14ac:dyDescent="0.2">
      <c r="A656" s="2">
        <v>7</v>
      </c>
      <c r="B656" s="1" t="s">
        <v>98</v>
      </c>
      <c r="C656" s="4">
        <v>119</v>
      </c>
      <c r="D656" s="8">
        <v>3.94</v>
      </c>
      <c r="E656" s="4">
        <v>51</v>
      </c>
      <c r="F656" s="8">
        <v>3.98</v>
      </c>
      <c r="G656" s="4">
        <v>68</v>
      </c>
      <c r="H656" s="8">
        <v>3.92</v>
      </c>
      <c r="I656" s="4">
        <v>0</v>
      </c>
    </row>
    <row r="657" spans="1:9" x14ac:dyDescent="0.2">
      <c r="A657" s="2">
        <v>8</v>
      </c>
      <c r="B657" s="1" t="s">
        <v>106</v>
      </c>
      <c r="C657" s="4">
        <v>111</v>
      </c>
      <c r="D657" s="8">
        <v>3.68</v>
      </c>
      <c r="E657" s="4">
        <v>91</v>
      </c>
      <c r="F657" s="8">
        <v>7.09</v>
      </c>
      <c r="G657" s="4">
        <v>20</v>
      </c>
      <c r="H657" s="8">
        <v>1.1499999999999999</v>
      </c>
      <c r="I657" s="4">
        <v>0</v>
      </c>
    </row>
    <row r="658" spans="1:9" x14ac:dyDescent="0.2">
      <c r="A658" s="2">
        <v>9</v>
      </c>
      <c r="B658" s="1" t="s">
        <v>105</v>
      </c>
      <c r="C658" s="4">
        <v>99</v>
      </c>
      <c r="D658" s="8">
        <v>3.28</v>
      </c>
      <c r="E658" s="4">
        <v>63</v>
      </c>
      <c r="F658" s="8">
        <v>4.91</v>
      </c>
      <c r="G658" s="4">
        <v>36</v>
      </c>
      <c r="H658" s="8">
        <v>2.08</v>
      </c>
      <c r="I658" s="4">
        <v>0</v>
      </c>
    </row>
    <row r="659" spans="1:9" x14ac:dyDescent="0.2">
      <c r="A659" s="2">
        <v>10</v>
      </c>
      <c r="B659" s="1" t="s">
        <v>96</v>
      </c>
      <c r="C659" s="4">
        <v>88</v>
      </c>
      <c r="D659" s="8">
        <v>2.92</v>
      </c>
      <c r="E659" s="4">
        <v>49</v>
      </c>
      <c r="F659" s="8">
        <v>3.82</v>
      </c>
      <c r="G659" s="4">
        <v>39</v>
      </c>
      <c r="H659" s="8">
        <v>2.25</v>
      </c>
      <c r="I659" s="4">
        <v>0</v>
      </c>
    </row>
    <row r="660" spans="1:9" x14ac:dyDescent="0.2">
      <c r="A660" s="2">
        <v>11</v>
      </c>
      <c r="B660" s="1" t="s">
        <v>132</v>
      </c>
      <c r="C660" s="4">
        <v>71</v>
      </c>
      <c r="D660" s="8">
        <v>2.35</v>
      </c>
      <c r="E660" s="4">
        <v>1</v>
      </c>
      <c r="F660" s="8">
        <v>0.08</v>
      </c>
      <c r="G660" s="4">
        <v>70</v>
      </c>
      <c r="H660" s="8">
        <v>4.04</v>
      </c>
      <c r="I660" s="4">
        <v>0</v>
      </c>
    </row>
    <row r="661" spans="1:9" x14ac:dyDescent="0.2">
      <c r="A661" s="2">
        <v>12</v>
      </c>
      <c r="B661" s="1" t="s">
        <v>90</v>
      </c>
      <c r="C661" s="4">
        <v>70</v>
      </c>
      <c r="D661" s="8">
        <v>2.3199999999999998</v>
      </c>
      <c r="E661" s="4">
        <v>6</v>
      </c>
      <c r="F661" s="8">
        <v>0.47</v>
      </c>
      <c r="G661" s="4">
        <v>64</v>
      </c>
      <c r="H661" s="8">
        <v>3.69</v>
      </c>
      <c r="I661" s="4">
        <v>0</v>
      </c>
    </row>
    <row r="662" spans="1:9" x14ac:dyDescent="0.2">
      <c r="A662" s="2">
        <v>13</v>
      </c>
      <c r="B662" s="1" t="s">
        <v>102</v>
      </c>
      <c r="C662" s="4">
        <v>68</v>
      </c>
      <c r="D662" s="8">
        <v>2.25</v>
      </c>
      <c r="E662" s="4">
        <v>20</v>
      </c>
      <c r="F662" s="8">
        <v>1.56</v>
      </c>
      <c r="G662" s="4">
        <v>48</v>
      </c>
      <c r="H662" s="8">
        <v>2.77</v>
      </c>
      <c r="I662" s="4">
        <v>0</v>
      </c>
    </row>
    <row r="663" spans="1:9" x14ac:dyDescent="0.2">
      <c r="A663" s="2">
        <v>14</v>
      </c>
      <c r="B663" s="1" t="s">
        <v>99</v>
      </c>
      <c r="C663" s="4">
        <v>63</v>
      </c>
      <c r="D663" s="8">
        <v>2.09</v>
      </c>
      <c r="E663" s="4">
        <v>7</v>
      </c>
      <c r="F663" s="8">
        <v>0.55000000000000004</v>
      </c>
      <c r="G663" s="4">
        <v>56</v>
      </c>
      <c r="H663" s="8">
        <v>3.23</v>
      </c>
      <c r="I663" s="4">
        <v>0</v>
      </c>
    </row>
    <row r="664" spans="1:9" x14ac:dyDescent="0.2">
      <c r="A664" s="2">
        <v>15</v>
      </c>
      <c r="B664" s="1" t="s">
        <v>107</v>
      </c>
      <c r="C664" s="4">
        <v>60</v>
      </c>
      <c r="D664" s="8">
        <v>1.99</v>
      </c>
      <c r="E664" s="4">
        <v>2</v>
      </c>
      <c r="F664" s="8">
        <v>0.16</v>
      </c>
      <c r="G664" s="4">
        <v>58</v>
      </c>
      <c r="H664" s="8">
        <v>3.34</v>
      </c>
      <c r="I664" s="4">
        <v>0</v>
      </c>
    </row>
    <row r="665" spans="1:9" x14ac:dyDescent="0.2">
      <c r="A665" s="2">
        <v>16</v>
      </c>
      <c r="B665" s="1" t="s">
        <v>91</v>
      </c>
      <c r="C665" s="4">
        <v>50</v>
      </c>
      <c r="D665" s="8">
        <v>1.66</v>
      </c>
      <c r="E665" s="4">
        <v>1</v>
      </c>
      <c r="F665" s="8">
        <v>0.08</v>
      </c>
      <c r="G665" s="4">
        <v>49</v>
      </c>
      <c r="H665" s="8">
        <v>2.83</v>
      </c>
      <c r="I665" s="4">
        <v>0</v>
      </c>
    </row>
    <row r="666" spans="1:9" x14ac:dyDescent="0.2">
      <c r="A666" s="2">
        <v>17</v>
      </c>
      <c r="B666" s="1" t="s">
        <v>123</v>
      </c>
      <c r="C666" s="4">
        <v>37</v>
      </c>
      <c r="D666" s="8">
        <v>1.23</v>
      </c>
      <c r="E666" s="4">
        <v>35</v>
      </c>
      <c r="F666" s="8">
        <v>2.73</v>
      </c>
      <c r="G666" s="4">
        <v>2</v>
      </c>
      <c r="H666" s="8">
        <v>0.12</v>
      </c>
      <c r="I666" s="4">
        <v>0</v>
      </c>
    </row>
    <row r="667" spans="1:9" x14ac:dyDescent="0.2">
      <c r="A667" s="2">
        <v>18</v>
      </c>
      <c r="B667" s="1" t="s">
        <v>97</v>
      </c>
      <c r="C667" s="4">
        <v>36</v>
      </c>
      <c r="D667" s="8">
        <v>1.19</v>
      </c>
      <c r="E667" s="4">
        <v>14</v>
      </c>
      <c r="F667" s="8">
        <v>1.0900000000000001</v>
      </c>
      <c r="G667" s="4">
        <v>22</v>
      </c>
      <c r="H667" s="8">
        <v>1.27</v>
      </c>
      <c r="I667" s="4">
        <v>0</v>
      </c>
    </row>
    <row r="668" spans="1:9" x14ac:dyDescent="0.2">
      <c r="A668" s="2">
        <v>19</v>
      </c>
      <c r="B668" s="1" t="s">
        <v>95</v>
      </c>
      <c r="C668" s="4">
        <v>35</v>
      </c>
      <c r="D668" s="8">
        <v>1.1599999999999999</v>
      </c>
      <c r="E668" s="4">
        <v>13</v>
      </c>
      <c r="F668" s="8">
        <v>1.01</v>
      </c>
      <c r="G668" s="4">
        <v>22</v>
      </c>
      <c r="H668" s="8">
        <v>1.27</v>
      </c>
      <c r="I668" s="4">
        <v>0</v>
      </c>
    </row>
    <row r="669" spans="1:9" x14ac:dyDescent="0.2">
      <c r="A669" s="2">
        <v>20</v>
      </c>
      <c r="B669" s="1" t="s">
        <v>110</v>
      </c>
      <c r="C669" s="4">
        <v>33</v>
      </c>
      <c r="D669" s="8">
        <v>1.0900000000000001</v>
      </c>
      <c r="E669" s="4">
        <v>7</v>
      </c>
      <c r="F669" s="8">
        <v>0.55000000000000004</v>
      </c>
      <c r="G669" s="4">
        <v>26</v>
      </c>
      <c r="H669" s="8">
        <v>1.5</v>
      </c>
      <c r="I669" s="4">
        <v>0</v>
      </c>
    </row>
    <row r="670" spans="1:9" x14ac:dyDescent="0.2">
      <c r="A670" s="2">
        <v>20</v>
      </c>
      <c r="B670" s="1" t="s">
        <v>93</v>
      </c>
      <c r="C670" s="4">
        <v>33</v>
      </c>
      <c r="D670" s="8">
        <v>1.0900000000000001</v>
      </c>
      <c r="E670" s="4">
        <v>2</v>
      </c>
      <c r="F670" s="8">
        <v>0.16</v>
      </c>
      <c r="G670" s="4">
        <v>31</v>
      </c>
      <c r="H670" s="8">
        <v>1.79</v>
      </c>
      <c r="I670" s="4">
        <v>0</v>
      </c>
    </row>
    <row r="671" spans="1:9" x14ac:dyDescent="0.2">
      <c r="A671" s="1"/>
      <c r="C671" s="4"/>
      <c r="D671" s="8"/>
      <c r="E671" s="4"/>
      <c r="F671" s="8"/>
      <c r="G671" s="4"/>
      <c r="H671" s="8"/>
      <c r="I671" s="4"/>
    </row>
    <row r="672" spans="1:9" x14ac:dyDescent="0.2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2">
      <c r="A673" s="2">
        <v>1</v>
      </c>
      <c r="B673" s="1" t="s">
        <v>103</v>
      </c>
      <c r="C673" s="4">
        <v>280</v>
      </c>
      <c r="D673" s="8">
        <v>11.2</v>
      </c>
      <c r="E673" s="4">
        <v>251</v>
      </c>
      <c r="F673" s="8">
        <v>19.43</v>
      </c>
      <c r="G673" s="4">
        <v>28</v>
      </c>
      <c r="H673" s="8">
        <v>2.33</v>
      </c>
      <c r="I673" s="4">
        <v>1</v>
      </c>
    </row>
    <row r="674" spans="1:9" x14ac:dyDescent="0.2">
      <c r="A674" s="2">
        <v>2</v>
      </c>
      <c r="B674" s="1" t="s">
        <v>104</v>
      </c>
      <c r="C674" s="4">
        <v>236</v>
      </c>
      <c r="D674" s="8">
        <v>9.44</v>
      </c>
      <c r="E674" s="4">
        <v>199</v>
      </c>
      <c r="F674" s="8">
        <v>15.4</v>
      </c>
      <c r="G674" s="4">
        <v>37</v>
      </c>
      <c r="H674" s="8">
        <v>3.07</v>
      </c>
      <c r="I674" s="4">
        <v>0</v>
      </c>
    </row>
    <row r="675" spans="1:9" x14ac:dyDescent="0.2">
      <c r="A675" s="2">
        <v>3</v>
      </c>
      <c r="B675" s="1" t="s">
        <v>88</v>
      </c>
      <c r="C675" s="4">
        <v>177</v>
      </c>
      <c r="D675" s="8">
        <v>7.08</v>
      </c>
      <c r="E675" s="4">
        <v>69</v>
      </c>
      <c r="F675" s="8">
        <v>5.34</v>
      </c>
      <c r="G675" s="4">
        <v>108</v>
      </c>
      <c r="H675" s="8">
        <v>8.9700000000000006</v>
      </c>
      <c r="I675" s="4">
        <v>0</v>
      </c>
    </row>
    <row r="676" spans="1:9" x14ac:dyDescent="0.2">
      <c r="A676" s="2">
        <v>4</v>
      </c>
      <c r="B676" s="1" t="s">
        <v>100</v>
      </c>
      <c r="C676" s="4">
        <v>160</v>
      </c>
      <c r="D676" s="8">
        <v>6.4</v>
      </c>
      <c r="E676" s="4">
        <v>32</v>
      </c>
      <c r="F676" s="8">
        <v>2.48</v>
      </c>
      <c r="G676" s="4">
        <v>126</v>
      </c>
      <c r="H676" s="8">
        <v>10.47</v>
      </c>
      <c r="I676" s="4">
        <v>1</v>
      </c>
    </row>
    <row r="677" spans="1:9" x14ac:dyDescent="0.2">
      <c r="A677" s="2">
        <v>5</v>
      </c>
      <c r="B677" s="1" t="s">
        <v>89</v>
      </c>
      <c r="C677" s="4">
        <v>153</v>
      </c>
      <c r="D677" s="8">
        <v>6.12</v>
      </c>
      <c r="E677" s="4">
        <v>89</v>
      </c>
      <c r="F677" s="8">
        <v>6.89</v>
      </c>
      <c r="G677" s="4">
        <v>64</v>
      </c>
      <c r="H677" s="8">
        <v>5.32</v>
      </c>
      <c r="I677" s="4">
        <v>0</v>
      </c>
    </row>
    <row r="678" spans="1:9" x14ac:dyDescent="0.2">
      <c r="A678" s="2">
        <v>6</v>
      </c>
      <c r="B678" s="1" t="s">
        <v>98</v>
      </c>
      <c r="C678" s="4">
        <v>142</v>
      </c>
      <c r="D678" s="8">
        <v>5.68</v>
      </c>
      <c r="E678" s="4">
        <v>73</v>
      </c>
      <c r="F678" s="8">
        <v>5.65</v>
      </c>
      <c r="G678" s="4">
        <v>69</v>
      </c>
      <c r="H678" s="8">
        <v>5.73</v>
      </c>
      <c r="I678" s="4">
        <v>0</v>
      </c>
    </row>
    <row r="679" spans="1:9" x14ac:dyDescent="0.2">
      <c r="A679" s="2">
        <v>7</v>
      </c>
      <c r="B679" s="1" t="s">
        <v>96</v>
      </c>
      <c r="C679" s="4">
        <v>98</v>
      </c>
      <c r="D679" s="8">
        <v>3.92</v>
      </c>
      <c r="E679" s="4">
        <v>73</v>
      </c>
      <c r="F679" s="8">
        <v>5.65</v>
      </c>
      <c r="G679" s="4">
        <v>25</v>
      </c>
      <c r="H679" s="8">
        <v>2.08</v>
      </c>
      <c r="I679" s="4">
        <v>0</v>
      </c>
    </row>
    <row r="680" spans="1:9" x14ac:dyDescent="0.2">
      <c r="A680" s="2">
        <v>8</v>
      </c>
      <c r="B680" s="1" t="s">
        <v>90</v>
      </c>
      <c r="C680" s="4">
        <v>97</v>
      </c>
      <c r="D680" s="8">
        <v>3.88</v>
      </c>
      <c r="E680" s="4">
        <v>31</v>
      </c>
      <c r="F680" s="8">
        <v>2.4</v>
      </c>
      <c r="G680" s="4">
        <v>66</v>
      </c>
      <c r="H680" s="8">
        <v>5.48</v>
      </c>
      <c r="I680" s="4">
        <v>0</v>
      </c>
    </row>
    <row r="681" spans="1:9" x14ac:dyDescent="0.2">
      <c r="A681" s="2">
        <v>9</v>
      </c>
      <c r="B681" s="1" t="s">
        <v>105</v>
      </c>
      <c r="C681" s="4">
        <v>95</v>
      </c>
      <c r="D681" s="8">
        <v>3.8</v>
      </c>
      <c r="E681" s="4">
        <v>64</v>
      </c>
      <c r="F681" s="8">
        <v>4.95</v>
      </c>
      <c r="G681" s="4">
        <v>31</v>
      </c>
      <c r="H681" s="8">
        <v>2.57</v>
      </c>
      <c r="I681" s="4">
        <v>0</v>
      </c>
    </row>
    <row r="682" spans="1:9" x14ac:dyDescent="0.2">
      <c r="A682" s="2">
        <v>10</v>
      </c>
      <c r="B682" s="1" t="s">
        <v>106</v>
      </c>
      <c r="C682" s="4">
        <v>87</v>
      </c>
      <c r="D682" s="8">
        <v>3.48</v>
      </c>
      <c r="E682" s="4">
        <v>71</v>
      </c>
      <c r="F682" s="8">
        <v>5.5</v>
      </c>
      <c r="G682" s="4">
        <v>16</v>
      </c>
      <c r="H682" s="8">
        <v>1.33</v>
      </c>
      <c r="I682" s="4">
        <v>0</v>
      </c>
    </row>
    <row r="683" spans="1:9" x14ac:dyDescent="0.2">
      <c r="A683" s="2">
        <v>11</v>
      </c>
      <c r="B683" s="1" t="s">
        <v>97</v>
      </c>
      <c r="C683" s="4">
        <v>84</v>
      </c>
      <c r="D683" s="8">
        <v>3.36</v>
      </c>
      <c r="E683" s="4">
        <v>42</v>
      </c>
      <c r="F683" s="8">
        <v>3.25</v>
      </c>
      <c r="G683" s="4">
        <v>42</v>
      </c>
      <c r="H683" s="8">
        <v>3.49</v>
      </c>
      <c r="I683" s="4">
        <v>0</v>
      </c>
    </row>
    <row r="684" spans="1:9" x14ac:dyDescent="0.2">
      <c r="A684" s="2">
        <v>12</v>
      </c>
      <c r="B684" s="1" t="s">
        <v>101</v>
      </c>
      <c r="C684" s="4">
        <v>57</v>
      </c>
      <c r="D684" s="8">
        <v>2.2799999999999998</v>
      </c>
      <c r="E684" s="4">
        <v>31</v>
      </c>
      <c r="F684" s="8">
        <v>2.4</v>
      </c>
      <c r="G684" s="4">
        <v>26</v>
      </c>
      <c r="H684" s="8">
        <v>2.16</v>
      </c>
      <c r="I684" s="4">
        <v>0</v>
      </c>
    </row>
    <row r="685" spans="1:9" x14ac:dyDescent="0.2">
      <c r="A685" s="2">
        <v>13</v>
      </c>
      <c r="B685" s="1" t="s">
        <v>102</v>
      </c>
      <c r="C685" s="4">
        <v>53</v>
      </c>
      <c r="D685" s="8">
        <v>2.12</v>
      </c>
      <c r="E685" s="4">
        <v>25</v>
      </c>
      <c r="F685" s="8">
        <v>1.93</v>
      </c>
      <c r="G685" s="4">
        <v>28</v>
      </c>
      <c r="H685" s="8">
        <v>2.33</v>
      </c>
      <c r="I685" s="4">
        <v>0</v>
      </c>
    </row>
    <row r="686" spans="1:9" x14ac:dyDescent="0.2">
      <c r="A686" s="2">
        <v>14</v>
      </c>
      <c r="B686" s="1" t="s">
        <v>121</v>
      </c>
      <c r="C686" s="4">
        <v>50</v>
      </c>
      <c r="D686" s="8">
        <v>2</v>
      </c>
      <c r="E686" s="4">
        <v>10</v>
      </c>
      <c r="F686" s="8">
        <v>0.77</v>
      </c>
      <c r="G686" s="4">
        <v>40</v>
      </c>
      <c r="H686" s="8">
        <v>3.32</v>
      </c>
      <c r="I686" s="4">
        <v>0</v>
      </c>
    </row>
    <row r="687" spans="1:9" x14ac:dyDescent="0.2">
      <c r="A687" s="2">
        <v>15</v>
      </c>
      <c r="B687" s="1" t="s">
        <v>119</v>
      </c>
      <c r="C687" s="4">
        <v>45</v>
      </c>
      <c r="D687" s="8">
        <v>1.8</v>
      </c>
      <c r="E687" s="4">
        <v>17</v>
      </c>
      <c r="F687" s="8">
        <v>1.32</v>
      </c>
      <c r="G687" s="4">
        <v>28</v>
      </c>
      <c r="H687" s="8">
        <v>2.33</v>
      </c>
      <c r="I687" s="4">
        <v>0</v>
      </c>
    </row>
    <row r="688" spans="1:9" x14ac:dyDescent="0.2">
      <c r="A688" s="2">
        <v>16</v>
      </c>
      <c r="B688" s="1" t="s">
        <v>95</v>
      </c>
      <c r="C688" s="4">
        <v>44</v>
      </c>
      <c r="D688" s="8">
        <v>1.76</v>
      </c>
      <c r="E688" s="4">
        <v>21</v>
      </c>
      <c r="F688" s="8">
        <v>1.63</v>
      </c>
      <c r="G688" s="4">
        <v>23</v>
      </c>
      <c r="H688" s="8">
        <v>1.91</v>
      </c>
      <c r="I688" s="4">
        <v>0</v>
      </c>
    </row>
    <row r="689" spans="1:9" x14ac:dyDescent="0.2">
      <c r="A689" s="2">
        <v>17</v>
      </c>
      <c r="B689" s="1" t="s">
        <v>133</v>
      </c>
      <c r="C689" s="4">
        <v>41</v>
      </c>
      <c r="D689" s="8">
        <v>1.64</v>
      </c>
      <c r="E689" s="4">
        <v>24</v>
      </c>
      <c r="F689" s="8">
        <v>1.86</v>
      </c>
      <c r="G689" s="4">
        <v>17</v>
      </c>
      <c r="H689" s="8">
        <v>1.41</v>
      </c>
      <c r="I689" s="4">
        <v>0</v>
      </c>
    </row>
    <row r="690" spans="1:9" x14ac:dyDescent="0.2">
      <c r="A690" s="2">
        <v>18</v>
      </c>
      <c r="B690" s="1" t="s">
        <v>115</v>
      </c>
      <c r="C690" s="4">
        <v>34</v>
      </c>
      <c r="D690" s="8">
        <v>1.36</v>
      </c>
      <c r="E690" s="4">
        <v>14</v>
      </c>
      <c r="F690" s="8">
        <v>1.08</v>
      </c>
      <c r="G690" s="4">
        <v>20</v>
      </c>
      <c r="H690" s="8">
        <v>1.66</v>
      </c>
      <c r="I690" s="4">
        <v>0</v>
      </c>
    </row>
    <row r="691" spans="1:9" x14ac:dyDescent="0.2">
      <c r="A691" s="2">
        <v>19</v>
      </c>
      <c r="B691" s="1" t="s">
        <v>132</v>
      </c>
      <c r="C691" s="4">
        <v>32</v>
      </c>
      <c r="D691" s="8">
        <v>1.28</v>
      </c>
      <c r="E691" s="4">
        <v>0</v>
      </c>
      <c r="F691" s="8">
        <v>0</v>
      </c>
      <c r="G691" s="4">
        <v>32</v>
      </c>
      <c r="H691" s="8">
        <v>2.66</v>
      </c>
      <c r="I691" s="4">
        <v>0</v>
      </c>
    </row>
    <row r="692" spans="1:9" x14ac:dyDescent="0.2">
      <c r="A692" s="2">
        <v>20</v>
      </c>
      <c r="B692" s="1" t="s">
        <v>124</v>
      </c>
      <c r="C692" s="4">
        <v>30</v>
      </c>
      <c r="D692" s="8">
        <v>1.2</v>
      </c>
      <c r="E692" s="4">
        <v>13</v>
      </c>
      <c r="F692" s="8">
        <v>1.01</v>
      </c>
      <c r="G692" s="4">
        <v>17</v>
      </c>
      <c r="H692" s="8">
        <v>1.41</v>
      </c>
      <c r="I692" s="4">
        <v>0</v>
      </c>
    </row>
    <row r="693" spans="1:9" x14ac:dyDescent="0.2">
      <c r="A693" s="1"/>
      <c r="C693" s="4"/>
      <c r="D693" s="8"/>
      <c r="E693" s="4"/>
      <c r="F693" s="8"/>
      <c r="G693" s="4"/>
      <c r="H693" s="8"/>
      <c r="I693" s="4"/>
    </row>
    <row r="694" spans="1:9" x14ac:dyDescent="0.2">
      <c r="A694" s="1" t="s">
        <v>31</v>
      </c>
      <c r="C694" s="4"/>
      <c r="D694" s="8"/>
      <c r="E694" s="4"/>
      <c r="F694" s="8"/>
      <c r="G694" s="4"/>
      <c r="H694" s="8"/>
      <c r="I694" s="4"/>
    </row>
    <row r="695" spans="1:9" x14ac:dyDescent="0.2">
      <c r="A695" s="2">
        <v>1</v>
      </c>
      <c r="B695" s="1" t="s">
        <v>100</v>
      </c>
      <c r="C695" s="4">
        <v>576</v>
      </c>
      <c r="D695" s="8">
        <v>14.05</v>
      </c>
      <c r="E695" s="4">
        <v>184</v>
      </c>
      <c r="F695" s="8">
        <v>12.15</v>
      </c>
      <c r="G695" s="4">
        <v>390</v>
      </c>
      <c r="H695" s="8">
        <v>15.14</v>
      </c>
      <c r="I695" s="4">
        <v>0</v>
      </c>
    </row>
    <row r="696" spans="1:9" x14ac:dyDescent="0.2">
      <c r="A696" s="2">
        <v>2</v>
      </c>
      <c r="B696" s="1" t="s">
        <v>103</v>
      </c>
      <c r="C696" s="4">
        <v>374</v>
      </c>
      <c r="D696" s="8">
        <v>9.1199999999999992</v>
      </c>
      <c r="E696" s="4">
        <v>287</v>
      </c>
      <c r="F696" s="8">
        <v>18.96</v>
      </c>
      <c r="G696" s="4">
        <v>87</v>
      </c>
      <c r="H696" s="8">
        <v>3.38</v>
      </c>
      <c r="I696" s="4">
        <v>0</v>
      </c>
    </row>
    <row r="697" spans="1:9" x14ac:dyDescent="0.2">
      <c r="A697" s="2">
        <v>3</v>
      </c>
      <c r="B697" s="1" t="s">
        <v>104</v>
      </c>
      <c r="C697" s="4">
        <v>352</v>
      </c>
      <c r="D697" s="8">
        <v>8.58</v>
      </c>
      <c r="E697" s="4">
        <v>266</v>
      </c>
      <c r="F697" s="8">
        <v>17.57</v>
      </c>
      <c r="G697" s="4">
        <v>86</v>
      </c>
      <c r="H697" s="8">
        <v>3.34</v>
      </c>
      <c r="I697" s="4">
        <v>0</v>
      </c>
    </row>
    <row r="698" spans="1:9" x14ac:dyDescent="0.2">
      <c r="A698" s="2">
        <v>4</v>
      </c>
      <c r="B698" s="1" t="s">
        <v>89</v>
      </c>
      <c r="C698" s="4">
        <v>266</v>
      </c>
      <c r="D698" s="8">
        <v>6.49</v>
      </c>
      <c r="E698" s="4">
        <v>53</v>
      </c>
      <c r="F698" s="8">
        <v>3.5</v>
      </c>
      <c r="G698" s="4">
        <v>213</v>
      </c>
      <c r="H698" s="8">
        <v>8.27</v>
      </c>
      <c r="I698" s="4">
        <v>0</v>
      </c>
    </row>
    <row r="699" spans="1:9" x14ac:dyDescent="0.2">
      <c r="A699" s="2">
        <v>5</v>
      </c>
      <c r="B699" s="1" t="s">
        <v>98</v>
      </c>
      <c r="C699" s="4">
        <v>226</v>
      </c>
      <c r="D699" s="8">
        <v>5.51</v>
      </c>
      <c r="E699" s="4">
        <v>76</v>
      </c>
      <c r="F699" s="8">
        <v>5.0199999999999996</v>
      </c>
      <c r="G699" s="4">
        <v>150</v>
      </c>
      <c r="H699" s="8">
        <v>5.82</v>
      </c>
      <c r="I699" s="4">
        <v>0</v>
      </c>
    </row>
    <row r="700" spans="1:9" x14ac:dyDescent="0.2">
      <c r="A700" s="2">
        <v>6</v>
      </c>
      <c r="B700" s="1" t="s">
        <v>88</v>
      </c>
      <c r="C700" s="4">
        <v>214</v>
      </c>
      <c r="D700" s="8">
        <v>5.22</v>
      </c>
      <c r="E700" s="4">
        <v>29</v>
      </c>
      <c r="F700" s="8">
        <v>1.92</v>
      </c>
      <c r="G700" s="4">
        <v>184</v>
      </c>
      <c r="H700" s="8">
        <v>7.14</v>
      </c>
      <c r="I700" s="4">
        <v>1</v>
      </c>
    </row>
    <row r="701" spans="1:9" x14ac:dyDescent="0.2">
      <c r="A701" s="2">
        <v>7</v>
      </c>
      <c r="B701" s="1" t="s">
        <v>90</v>
      </c>
      <c r="C701" s="4">
        <v>194</v>
      </c>
      <c r="D701" s="8">
        <v>4.7300000000000004</v>
      </c>
      <c r="E701" s="4">
        <v>10</v>
      </c>
      <c r="F701" s="8">
        <v>0.66</v>
      </c>
      <c r="G701" s="4">
        <v>184</v>
      </c>
      <c r="H701" s="8">
        <v>7.14</v>
      </c>
      <c r="I701" s="4">
        <v>0</v>
      </c>
    </row>
    <row r="702" spans="1:9" x14ac:dyDescent="0.2">
      <c r="A702" s="2">
        <v>8</v>
      </c>
      <c r="B702" s="1" t="s">
        <v>106</v>
      </c>
      <c r="C702" s="4">
        <v>187</v>
      </c>
      <c r="D702" s="8">
        <v>4.5599999999999996</v>
      </c>
      <c r="E702" s="4">
        <v>162</v>
      </c>
      <c r="F702" s="8">
        <v>10.7</v>
      </c>
      <c r="G702" s="4">
        <v>25</v>
      </c>
      <c r="H702" s="8">
        <v>0.97</v>
      </c>
      <c r="I702" s="4">
        <v>0</v>
      </c>
    </row>
    <row r="703" spans="1:9" x14ac:dyDescent="0.2">
      <c r="A703" s="2">
        <v>9</v>
      </c>
      <c r="B703" s="1" t="s">
        <v>101</v>
      </c>
      <c r="C703" s="4">
        <v>163</v>
      </c>
      <c r="D703" s="8">
        <v>3.97</v>
      </c>
      <c r="E703" s="4">
        <v>84</v>
      </c>
      <c r="F703" s="8">
        <v>5.55</v>
      </c>
      <c r="G703" s="4">
        <v>79</v>
      </c>
      <c r="H703" s="8">
        <v>3.07</v>
      </c>
      <c r="I703" s="4">
        <v>0</v>
      </c>
    </row>
    <row r="704" spans="1:9" x14ac:dyDescent="0.2">
      <c r="A704" s="2">
        <v>10</v>
      </c>
      <c r="B704" s="1" t="s">
        <v>105</v>
      </c>
      <c r="C704" s="4">
        <v>159</v>
      </c>
      <c r="D704" s="8">
        <v>3.88</v>
      </c>
      <c r="E704" s="4">
        <v>91</v>
      </c>
      <c r="F704" s="8">
        <v>6.01</v>
      </c>
      <c r="G704" s="4">
        <v>67</v>
      </c>
      <c r="H704" s="8">
        <v>2.6</v>
      </c>
      <c r="I704" s="4">
        <v>0</v>
      </c>
    </row>
    <row r="705" spans="1:9" x14ac:dyDescent="0.2">
      <c r="A705" s="2">
        <v>11</v>
      </c>
      <c r="B705" s="1" t="s">
        <v>96</v>
      </c>
      <c r="C705" s="4">
        <v>136</v>
      </c>
      <c r="D705" s="8">
        <v>3.32</v>
      </c>
      <c r="E705" s="4">
        <v>70</v>
      </c>
      <c r="F705" s="8">
        <v>4.62</v>
      </c>
      <c r="G705" s="4">
        <v>66</v>
      </c>
      <c r="H705" s="8">
        <v>2.56</v>
      </c>
      <c r="I705" s="4">
        <v>0</v>
      </c>
    </row>
    <row r="706" spans="1:9" x14ac:dyDescent="0.2">
      <c r="A706" s="2">
        <v>12</v>
      </c>
      <c r="B706" s="1" t="s">
        <v>102</v>
      </c>
      <c r="C706" s="4">
        <v>97</v>
      </c>
      <c r="D706" s="8">
        <v>2.37</v>
      </c>
      <c r="E706" s="4">
        <v>25</v>
      </c>
      <c r="F706" s="8">
        <v>1.65</v>
      </c>
      <c r="G706" s="4">
        <v>71</v>
      </c>
      <c r="H706" s="8">
        <v>2.76</v>
      </c>
      <c r="I706" s="4">
        <v>1</v>
      </c>
    </row>
    <row r="707" spans="1:9" x14ac:dyDescent="0.2">
      <c r="A707" s="2">
        <v>13</v>
      </c>
      <c r="B707" s="1" t="s">
        <v>99</v>
      </c>
      <c r="C707" s="4">
        <v>91</v>
      </c>
      <c r="D707" s="8">
        <v>2.2200000000000002</v>
      </c>
      <c r="E707" s="4">
        <v>5</v>
      </c>
      <c r="F707" s="8">
        <v>0.33</v>
      </c>
      <c r="G707" s="4">
        <v>86</v>
      </c>
      <c r="H707" s="8">
        <v>3.34</v>
      </c>
      <c r="I707" s="4">
        <v>0</v>
      </c>
    </row>
    <row r="708" spans="1:9" x14ac:dyDescent="0.2">
      <c r="A708" s="2">
        <v>14</v>
      </c>
      <c r="B708" s="1" t="s">
        <v>97</v>
      </c>
      <c r="C708" s="4">
        <v>73</v>
      </c>
      <c r="D708" s="8">
        <v>1.78</v>
      </c>
      <c r="E708" s="4">
        <v>30</v>
      </c>
      <c r="F708" s="8">
        <v>1.98</v>
      </c>
      <c r="G708" s="4">
        <v>43</v>
      </c>
      <c r="H708" s="8">
        <v>1.67</v>
      </c>
      <c r="I708" s="4">
        <v>0</v>
      </c>
    </row>
    <row r="709" spans="1:9" x14ac:dyDescent="0.2">
      <c r="A709" s="2">
        <v>15</v>
      </c>
      <c r="B709" s="1" t="s">
        <v>91</v>
      </c>
      <c r="C709" s="4">
        <v>69</v>
      </c>
      <c r="D709" s="8">
        <v>1.68</v>
      </c>
      <c r="E709" s="4">
        <v>3</v>
      </c>
      <c r="F709" s="8">
        <v>0.2</v>
      </c>
      <c r="G709" s="4">
        <v>66</v>
      </c>
      <c r="H709" s="8">
        <v>2.56</v>
      </c>
      <c r="I709" s="4">
        <v>0</v>
      </c>
    </row>
    <row r="710" spans="1:9" x14ac:dyDescent="0.2">
      <c r="A710" s="2">
        <v>16</v>
      </c>
      <c r="B710" s="1" t="s">
        <v>94</v>
      </c>
      <c r="C710" s="4">
        <v>65</v>
      </c>
      <c r="D710" s="8">
        <v>1.58</v>
      </c>
      <c r="E710" s="4">
        <v>4</v>
      </c>
      <c r="F710" s="8">
        <v>0.26</v>
      </c>
      <c r="G710" s="4">
        <v>61</v>
      </c>
      <c r="H710" s="8">
        <v>2.37</v>
      </c>
      <c r="I710" s="4">
        <v>0</v>
      </c>
    </row>
    <row r="711" spans="1:9" x14ac:dyDescent="0.2">
      <c r="A711" s="2">
        <v>17</v>
      </c>
      <c r="B711" s="1" t="s">
        <v>107</v>
      </c>
      <c r="C711" s="4">
        <v>62</v>
      </c>
      <c r="D711" s="8">
        <v>1.51</v>
      </c>
      <c r="E711" s="4">
        <v>4</v>
      </c>
      <c r="F711" s="8">
        <v>0.26</v>
      </c>
      <c r="G711" s="4">
        <v>57</v>
      </c>
      <c r="H711" s="8">
        <v>2.21</v>
      </c>
      <c r="I711" s="4">
        <v>0</v>
      </c>
    </row>
    <row r="712" spans="1:9" x14ac:dyDescent="0.2">
      <c r="A712" s="2">
        <v>18</v>
      </c>
      <c r="B712" s="1" t="s">
        <v>115</v>
      </c>
      <c r="C712" s="4">
        <v>57</v>
      </c>
      <c r="D712" s="8">
        <v>1.39</v>
      </c>
      <c r="E712" s="4">
        <v>17</v>
      </c>
      <c r="F712" s="8">
        <v>1.1200000000000001</v>
      </c>
      <c r="G712" s="4">
        <v>40</v>
      </c>
      <c r="H712" s="8">
        <v>1.55</v>
      </c>
      <c r="I712" s="4">
        <v>0</v>
      </c>
    </row>
    <row r="713" spans="1:9" x14ac:dyDescent="0.2">
      <c r="A713" s="2">
        <v>19</v>
      </c>
      <c r="B713" s="1" t="s">
        <v>132</v>
      </c>
      <c r="C713" s="4">
        <v>55</v>
      </c>
      <c r="D713" s="8">
        <v>1.34</v>
      </c>
      <c r="E713" s="4">
        <v>0</v>
      </c>
      <c r="F713" s="8">
        <v>0</v>
      </c>
      <c r="G713" s="4">
        <v>55</v>
      </c>
      <c r="H713" s="8">
        <v>2.14</v>
      </c>
      <c r="I713" s="4">
        <v>0</v>
      </c>
    </row>
    <row r="714" spans="1:9" x14ac:dyDescent="0.2">
      <c r="A714" s="2">
        <v>20</v>
      </c>
      <c r="B714" s="1" t="s">
        <v>93</v>
      </c>
      <c r="C714" s="4">
        <v>52</v>
      </c>
      <c r="D714" s="8">
        <v>1.27</v>
      </c>
      <c r="E714" s="4">
        <v>1</v>
      </c>
      <c r="F714" s="8">
        <v>7.0000000000000007E-2</v>
      </c>
      <c r="G714" s="4">
        <v>51</v>
      </c>
      <c r="H714" s="8">
        <v>1.98</v>
      </c>
      <c r="I714" s="4">
        <v>0</v>
      </c>
    </row>
    <row r="715" spans="1:9" x14ac:dyDescent="0.2">
      <c r="A715" s="1"/>
      <c r="C715" s="4"/>
      <c r="D715" s="8"/>
      <c r="E715" s="4"/>
      <c r="F715" s="8"/>
      <c r="G715" s="4"/>
      <c r="H715" s="8"/>
      <c r="I715" s="4"/>
    </row>
    <row r="716" spans="1:9" x14ac:dyDescent="0.2">
      <c r="A716" s="1" t="s">
        <v>32</v>
      </c>
      <c r="C716" s="4"/>
      <c r="D716" s="8"/>
      <c r="E716" s="4"/>
      <c r="F716" s="8"/>
      <c r="G716" s="4"/>
      <c r="H716" s="8"/>
      <c r="I716" s="4"/>
    </row>
    <row r="717" spans="1:9" x14ac:dyDescent="0.2">
      <c r="A717" s="2">
        <v>1</v>
      </c>
      <c r="B717" s="1" t="s">
        <v>103</v>
      </c>
      <c r="C717" s="4">
        <v>224</v>
      </c>
      <c r="D717" s="8">
        <v>12.21</v>
      </c>
      <c r="E717" s="4">
        <v>197</v>
      </c>
      <c r="F717" s="8">
        <v>25.26</v>
      </c>
      <c r="G717" s="4">
        <v>27</v>
      </c>
      <c r="H717" s="8">
        <v>2.57</v>
      </c>
      <c r="I717" s="4">
        <v>0</v>
      </c>
    </row>
    <row r="718" spans="1:9" x14ac:dyDescent="0.2">
      <c r="A718" s="2">
        <v>2</v>
      </c>
      <c r="B718" s="1" t="s">
        <v>104</v>
      </c>
      <c r="C718" s="4">
        <v>179</v>
      </c>
      <c r="D718" s="8">
        <v>9.76</v>
      </c>
      <c r="E718" s="4">
        <v>141</v>
      </c>
      <c r="F718" s="8">
        <v>18.079999999999998</v>
      </c>
      <c r="G718" s="4">
        <v>38</v>
      </c>
      <c r="H718" s="8">
        <v>3.62</v>
      </c>
      <c r="I718" s="4">
        <v>0</v>
      </c>
    </row>
    <row r="719" spans="1:9" x14ac:dyDescent="0.2">
      <c r="A719" s="2">
        <v>3</v>
      </c>
      <c r="B719" s="1" t="s">
        <v>100</v>
      </c>
      <c r="C719" s="4">
        <v>167</v>
      </c>
      <c r="D719" s="8">
        <v>9.11</v>
      </c>
      <c r="E719" s="4">
        <v>48</v>
      </c>
      <c r="F719" s="8">
        <v>6.15</v>
      </c>
      <c r="G719" s="4">
        <v>119</v>
      </c>
      <c r="H719" s="8">
        <v>11.34</v>
      </c>
      <c r="I719" s="4">
        <v>0</v>
      </c>
    </row>
    <row r="720" spans="1:9" x14ac:dyDescent="0.2">
      <c r="A720" s="2">
        <v>4</v>
      </c>
      <c r="B720" s="1" t="s">
        <v>89</v>
      </c>
      <c r="C720" s="4">
        <v>97</v>
      </c>
      <c r="D720" s="8">
        <v>5.29</v>
      </c>
      <c r="E720" s="4">
        <v>17</v>
      </c>
      <c r="F720" s="8">
        <v>2.1800000000000002</v>
      </c>
      <c r="G720" s="4">
        <v>80</v>
      </c>
      <c r="H720" s="8">
        <v>7.63</v>
      </c>
      <c r="I720" s="4">
        <v>0</v>
      </c>
    </row>
    <row r="721" spans="1:9" x14ac:dyDescent="0.2">
      <c r="A721" s="2">
        <v>5</v>
      </c>
      <c r="B721" s="1" t="s">
        <v>88</v>
      </c>
      <c r="C721" s="4">
        <v>91</v>
      </c>
      <c r="D721" s="8">
        <v>4.96</v>
      </c>
      <c r="E721" s="4">
        <v>11</v>
      </c>
      <c r="F721" s="8">
        <v>1.41</v>
      </c>
      <c r="G721" s="4">
        <v>80</v>
      </c>
      <c r="H721" s="8">
        <v>7.63</v>
      </c>
      <c r="I721" s="4">
        <v>0</v>
      </c>
    </row>
    <row r="722" spans="1:9" x14ac:dyDescent="0.2">
      <c r="A722" s="2">
        <v>6</v>
      </c>
      <c r="B722" s="1" t="s">
        <v>105</v>
      </c>
      <c r="C722" s="4">
        <v>90</v>
      </c>
      <c r="D722" s="8">
        <v>4.91</v>
      </c>
      <c r="E722" s="4">
        <v>51</v>
      </c>
      <c r="F722" s="8">
        <v>6.54</v>
      </c>
      <c r="G722" s="4">
        <v>39</v>
      </c>
      <c r="H722" s="8">
        <v>3.72</v>
      </c>
      <c r="I722" s="4">
        <v>0</v>
      </c>
    </row>
    <row r="723" spans="1:9" x14ac:dyDescent="0.2">
      <c r="A723" s="2">
        <v>7</v>
      </c>
      <c r="B723" s="1" t="s">
        <v>98</v>
      </c>
      <c r="C723" s="4">
        <v>88</v>
      </c>
      <c r="D723" s="8">
        <v>4.8</v>
      </c>
      <c r="E723" s="4">
        <v>36</v>
      </c>
      <c r="F723" s="8">
        <v>4.62</v>
      </c>
      <c r="G723" s="4">
        <v>52</v>
      </c>
      <c r="H723" s="8">
        <v>4.96</v>
      </c>
      <c r="I723" s="4">
        <v>0</v>
      </c>
    </row>
    <row r="724" spans="1:9" x14ac:dyDescent="0.2">
      <c r="A724" s="2">
        <v>8</v>
      </c>
      <c r="B724" s="1" t="s">
        <v>106</v>
      </c>
      <c r="C724" s="4">
        <v>83</v>
      </c>
      <c r="D724" s="8">
        <v>4.53</v>
      </c>
      <c r="E724" s="4">
        <v>71</v>
      </c>
      <c r="F724" s="8">
        <v>9.1</v>
      </c>
      <c r="G724" s="4">
        <v>12</v>
      </c>
      <c r="H724" s="8">
        <v>1.1399999999999999</v>
      </c>
      <c r="I724" s="4">
        <v>0</v>
      </c>
    </row>
    <row r="725" spans="1:9" x14ac:dyDescent="0.2">
      <c r="A725" s="2">
        <v>9</v>
      </c>
      <c r="B725" s="1" t="s">
        <v>96</v>
      </c>
      <c r="C725" s="4">
        <v>68</v>
      </c>
      <c r="D725" s="8">
        <v>3.71</v>
      </c>
      <c r="E725" s="4">
        <v>39</v>
      </c>
      <c r="F725" s="8">
        <v>5</v>
      </c>
      <c r="G725" s="4">
        <v>29</v>
      </c>
      <c r="H725" s="8">
        <v>2.76</v>
      </c>
      <c r="I725" s="4">
        <v>0</v>
      </c>
    </row>
    <row r="726" spans="1:9" x14ac:dyDescent="0.2">
      <c r="A726" s="2">
        <v>10</v>
      </c>
      <c r="B726" s="1" t="s">
        <v>101</v>
      </c>
      <c r="C726" s="4">
        <v>61</v>
      </c>
      <c r="D726" s="8">
        <v>3.33</v>
      </c>
      <c r="E726" s="4">
        <v>36</v>
      </c>
      <c r="F726" s="8">
        <v>4.62</v>
      </c>
      <c r="G726" s="4">
        <v>25</v>
      </c>
      <c r="H726" s="8">
        <v>2.38</v>
      </c>
      <c r="I726" s="4">
        <v>0</v>
      </c>
    </row>
    <row r="727" spans="1:9" x14ac:dyDescent="0.2">
      <c r="A727" s="2">
        <v>11</v>
      </c>
      <c r="B727" s="1" t="s">
        <v>90</v>
      </c>
      <c r="C727" s="4">
        <v>57</v>
      </c>
      <c r="D727" s="8">
        <v>3.11</v>
      </c>
      <c r="E727" s="4">
        <v>10</v>
      </c>
      <c r="F727" s="8">
        <v>1.28</v>
      </c>
      <c r="G727" s="4">
        <v>47</v>
      </c>
      <c r="H727" s="8">
        <v>4.4800000000000004</v>
      </c>
      <c r="I727" s="4">
        <v>0</v>
      </c>
    </row>
    <row r="728" spans="1:9" x14ac:dyDescent="0.2">
      <c r="A728" s="2">
        <v>12</v>
      </c>
      <c r="B728" s="1" t="s">
        <v>97</v>
      </c>
      <c r="C728" s="4">
        <v>44</v>
      </c>
      <c r="D728" s="8">
        <v>2.4</v>
      </c>
      <c r="E728" s="4">
        <v>23</v>
      </c>
      <c r="F728" s="8">
        <v>2.95</v>
      </c>
      <c r="G728" s="4">
        <v>21</v>
      </c>
      <c r="H728" s="8">
        <v>2</v>
      </c>
      <c r="I728" s="4">
        <v>0</v>
      </c>
    </row>
    <row r="729" spans="1:9" x14ac:dyDescent="0.2">
      <c r="A729" s="2">
        <v>13</v>
      </c>
      <c r="B729" s="1" t="s">
        <v>99</v>
      </c>
      <c r="C729" s="4">
        <v>43</v>
      </c>
      <c r="D729" s="8">
        <v>2.34</v>
      </c>
      <c r="E729" s="4">
        <v>1</v>
      </c>
      <c r="F729" s="8">
        <v>0.13</v>
      </c>
      <c r="G729" s="4">
        <v>42</v>
      </c>
      <c r="H729" s="8">
        <v>4</v>
      </c>
      <c r="I729" s="4">
        <v>0</v>
      </c>
    </row>
    <row r="730" spans="1:9" x14ac:dyDescent="0.2">
      <c r="A730" s="2">
        <v>14</v>
      </c>
      <c r="B730" s="1" t="s">
        <v>119</v>
      </c>
      <c r="C730" s="4">
        <v>34</v>
      </c>
      <c r="D730" s="8">
        <v>1.85</v>
      </c>
      <c r="E730" s="4">
        <v>8</v>
      </c>
      <c r="F730" s="8">
        <v>1.03</v>
      </c>
      <c r="G730" s="4">
        <v>26</v>
      </c>
      <c r="H730" s="8">
        <v>2.48</v>
      </c>
      <c r="I730" s="4">
        <v>0</v>
      </c>
    </row>
    <row r="731" spans="1:9" x14ac:dyDescent="0.2">
      <c r="A731" s="2">
        <v>15</v>
      </c>
      <c r="B731" s="1" t="s">
        <v>115</v>
      </c>
      <c r="C731" s="4">
        <v>33</v>
      </c>
      <c r="D731" s="8">
        <v>1.8</v>
      </c>
      <c r="E731" s="4">
        <v>7</v>
      </c>
      <c r="F731" s="8">
        <v>0.9</v>
      </c>
      <c r="G731" s="4">
        <v>26</v>
      </c>
      <c r="H731" s="8">
        <v>2.48</v>
      </c>
      <c r="I731" s="4">
        <v>0</v>
      </c>
    </row>
    <row r="732" spans="1:9" x14ac:dyDescent="0.2">
      <c r="A732" s="2">
        <v>16</v>
      </c>
      <c r="B732" s="1" t="s">
        <v>102</v>
      </c>
      <c r="C732" s="4">
        <v>31</v>
      </c>
      <c r="D732" s="8">
        <v>1.69</v>
      </c>
      <c r="E732" s="4">
        <v>11</v>
      </c>
      <c r="F732" s="8">
        <v>1.41</v>
      </c>
      <c r="G732" s="4">
        <v>20</v>
      </c>
      <c r="H732" s="8">
        <v>1.91</v>
      </c>
      <c r="I732" s="4">
        <v>0</v>
      </c>
    </row>
    <row r="733" spans="1:9" x14ac:dyDescent="0.2">
      <c r="A733" s="2">
        <v>17</v>
      </c>
      <c r="B733" s="1" t="s">
        <v>95</v>
      </c>
      <c r="C733" s="4">
        <v>29</v>
      </c>
      <c r="D733" s="8">
        <v>1.58</v>
      </c>
      <c r="E733" s="4">
        <v>13</v>
      </c>
      <c r="F733" s="8">
        <v>1.67</v>
      </c>
      <c r="G733" s="4">
        <v>16</v>
      </c>
      <c r="H733" s="8">
        <v>1.53</v>
      </c>
      <c r="I733" s="4">
        <v>0</v>
      </c>
    </row>
    <row r="734" spans="1:9" x14ac:dyDescent="0.2">
      <c r="A734" s="2">
        <v>18</v>
      </c>
      <c r="B734" s="1" t="s">
        <v>93</v>
      </c>
      <c r="C734" s="4">
        <v>28</v>
      </c>
      <c r="D734" s="8">
        <v>1.53</v>
      </c>
      <c r="E734" s="4">
        <v>2</v>
      </c>
      <c r="F734" s="8">
        <v>0.26</v>
      </c>
      <c r="G734" s="4">
        <v>26</v>
      </c>
      <c r="H734" s="8">
        <v>2.48</v>
      </c>
      <c r="I734" s="4">
        <v>0</v>
      </c>
    </row>
    <row r="735" spans="1:9" x14ac:dyDescent="0.2">
      <c r="A735" s="2">
        <v>19</v>
      </c>
      <c r="B735" s="1" t="s">
        <v>94</v>
      </c>
      <c r="C735" s="4">
        <v>27</v>
      </c>
      <c r="D735" s="8">
        <v>1.47</v>
      </c>
      <c r="E735" s="4">
        <v>2</v>
      </c>
      <c r="F735" s="8">
        <v>0.26</v>
      </c>
      <c r="G735" s="4">
        <v>25</v>
      </c>
      <c r="H735" s="8">
        <v>2.38</v>
      </c>
      <c r="I735" s="4">
        <v>0</v>
      </c>
    </row>
    <row r="736" spans="1:9" x14ac:dyDescent="0.2">
      <c r="A736" s="2">
        <v>20</v>
      </c>
      <c r="B736" s="1" t="s">
        <v>132</v>
      </c>
      <c r="C736" s="4">
        <v>26</v>
      </c>
      <c r="D736" s="8">
        <v>1.42</v>
      </c>
      <c r="E736" s="4">
        <v>0</v>
      </c>
      <c r="F736" s="8">
        <v>0</v>
      </c>
      <c r="G736" s="4">
        <v>24</v>
      </c>
      <c r="H736" s="8">
        <v>2.29</v>
      </c>
      <c r="I736" s="4">
        <v>0</v>
      </c>
    </row>
    <row r="737" spans="1:9" x14ac:dyDescent="0.2">
      <c r="A737" s="1"/>
      <c r="C737" s="4"/>
      <c r="D737" s="8"/>
      <c r="E737" s="4"/>
      <c r="F737" s="8"/>
      <c r="G737" s="4"/>
      <c r="H737" s="8"/>
      <c r="I737" s="4"/>
    </row>
    <row r="738" spans="1:9" x14ac:dyDescent="0.2">
      <c r="A738" s="1" t="s">
        <v>33</v>
      </c>
      <c r="C738" s="4"/>
      <c r="D738" s="8"/>
      <c r="E738" s="4"/>
      <c r="F738" s="8"/>
      <c r="G738" s="4"/>
      <c r="H738" s="8"/>
      <c r="I738" s="4"/>
    </row>
    <row r="739" spans="1:9" x14ac:dyDescent="0.2">
      <c r="A739" s="2">
        <v>1</v>
      </c>
      <c r="B739" s="1" t="s">
        <v>100</v>
      </c>
      <c r="C739" s="4">
        <v>434</v>
      </c>
      <c r="D739" s="8">
        <v>11.98</v>
      </c>
      <c r="E739" s="4">
        <v>41</v>
      </c>
      <c r="F739" s="8">
        <v>3.45</v>
      </c>
      <c r="G739" s="4">
        <v>393</v>
      </c>
      <c r="H739" s="8">
        <v>16.21</v>
      </c>
      <c r="I739" s="4">
        <v>0</v>
      </c>
    </row>
    <row r="740" spans="1:9" x14ac:dyDescent="0.2">
      <c r="A740" s="2">
        <v>2</v>
      </c>
      <c r="B740" s="1" t="s">
        <v>103</v>
      </c>
      <c r="C740" s="4">
        <v>370</v>
      </c>
      <c r="D740" s="8">
        <v>10.210000000000001</v>
      </c>
      <c r="E740" s="4">
        <v>283</v>
      </c>
      <c r="F740" s="8">
        <v>23.78</v>
      </c>
      <c r="G740" s="4">
        <v>87</v>
      </c>
      <c r="H740" s="8">
        <v>3.59</v>
      </c>
      <c r="I740" s="4">
        <v>0</v>
      </c>
    </row>
    <row r="741" spans="1:9" x14ac:dyDescent="0.2">
      <c r="A741" s="2">
        <v>3</v>
      </c>
      <c r="B741" s="1" t="s">
        <v>104</v>
      </c>
      <c r="C741" s="4">
        <v>304</v>
      </c>
      <c r="D741" s="8">
        <v>8.39</v>
      </c>
      <c r="E741" s="4">
        <v>192</v>
      </c>
      <c r="F741" s="8">
        <v>16.13</v>
      </c>
      <c r="G741" s="4">
        <v>112</v>
      </c>
      <c r="H741" s="8">
        <v>4.62</v>
      </c>
      <c r="I741" s="4">
        <v>0</v>
      </c>
    </row>
    <row r="742" spans="1:9" x14ac:dyDescent="0.2">
      <c r="A742" s="2">
        <v>4</v>
      </c>
      <c r="B742" s="1" t="s">
        <v>101</v>
      </c>
      <c r="C742" s="4">
        <v>207</v>
      </c>
      <c r="D742" s="8">
        <v>5.71</v>
      </c>
      <c r="E742" s="4">
        <v>76</v>
      </c>
      <c r="F742" s="8">
        <v>6.39</v>
      </c>
      <c r="G742" s="4">
        <v>130</v>
      </c>
      <c r="H742" s="8">
        <v>5.36</v>
      </c>
      <c r="I742" s="4">
        <v>1</v>
      </c>
    </row>
    <row r="743" spans="1:9" x14ac:dyDescent="0.2">
      <c r="A743" s="2">
        <v>5</v>
      </c>
      <c r="B743" s="1" t="s">
        <v>98</v>
      </c>
      <c r="C743" s="4">
        <v>189</v>
      </c>
      <c r="D743" s="8">
        <v>5.22</v>
      </c>
      <c r="E743" s="4">
        <v>77</v>
      </c>
      <c r="F743" s="8">
        <v>6.47</v>
      </c>
      <c r="G743" s="4">
        <v>112</v>
      </c>
      <c r="H743" s="8">
        <v>4.62</v>
      </c>
      <c r="I743" s="4">
        <v>0</v>
      </c>
    </row>
    <row r="744" spans="1:9" x14ac:dyDescent="0.2">
      <c r="A744" s="2">
        <v>6</v>
      </c>
      <c r="B744" s="1" t="s">
        <v>88</v>
      </c>
      <c r="C744" s="4">
        <v>186</v>
      </c>
      <c r="D744" s="8">
        <v>5.13</v>
      </c>
      <c r="E744" s="4">
        <v>17</v>
      </c>
      <c r="F744" s="8">
        <v>1.43</v>
      </c>
      <c r="G744" s="4">
        <v>169</v>
      </c>
      <c r="H744" s="8">
        <v>6.97</v>
      </c>
      <c r="I744" s="4">
        <v>0</v>
      </c>
    </row>
    <row r="745" spans="1:9" x14ac:dyDescent="0.2">
      <c r="A745" s="2">
        <v>7</v>
      </c>
      <c r="B745" s="1" t="s">
        <v>106</v>
      </c>
      <c r="C745" s="4">
        <v>170</v>
      </c>
      <c r="D745" s="8">
        <v>4.6900000000000004</v>
      </c>
      <c r="E745" s="4">
        <v>126</v>
      </c>
      <c r="F745" s="8">
        <v>10.59</v>
      </c>
      <c r="G745" s="4">
        <v>44</v>
      </c>
      <c r="H745" s="8">
        <v>1.81</v>
      </c>
      <c r="I745" s="4">
        <v>0</v>
      </c>
    </row>
    <row r="746" spans="1:9" x14ac:dyDescent="0.2">
      <c r="A746" s="2">
        <v>8</v>
      </c>
      <c r="B746" s="1" t="s">
        <v>89</v>
      </c>
      <c r="C746" s="4">
        <v>148</v>
      </c>
      <c r="D746" s="8">
        <v>4.09</v>
      </c>
      <c r="E746" s="4">
        <v>22</v>
      </c>
      <c r="F746" s="8">
        <v>1.85</v>
      </c>
      <c r="G746" s="4">
        <v>126</v>
      </c>
      <c r="H746" s="8">
        <v>5.2</v>
      </c>
      <c r="I746" s="4">
        <v>0</v>
      </c>
    </row>
    <row r="747" spans="1:9" x14ac:dyDescent="0.2">
      <c r="A747" s="2">
        <v>8</v>
      </c>
      <c r="B747" s="1" t="s">
        <v>105</v>
      </c>
      <c r="C747" s="4">
        <v>148</v>
      </c>
      <c r="D747" s="8">
        <v>4.09</v>
      </c>
      <c r="E747" s="4">
        <v>85</v>
      </c>
      <c r="F747" s="8">
        <v>7.14</v>
      </c>
      <c r="G747" s="4">
        <v>63</v>
      </c>
      <c r="H747" s="8">
        <v>2.6</v>
      </c>
      <c r="I747" s="4">
        <v>0</v>
      </c>
    </row>
    <row r="748" spans="1:9" x14ac:dyDescent="0.2">
      <c r="A748" s="2">
        <v>10</v>
      </c>
      <c r="B748" s="1" t="s">
        <v>96</v>
      </c>
      <c r="C748" s="4">
        <v>126</v>
      </c>
      <c r="D748" s="8">
        <v>3.48</v>
      </c>
      <c r="E748" s="4">
        <v>62</v>
      </c>
      <c r="F748" s="8">
        <v>5.21</v>
      </c>
      <c r="G748" s="4">
        <v>64</v>
      </c>
      <c r="H748" s="8">
        <v>2.64</v>
      </c>
      <c r="I748" s="4">
        <v>0</v>
      </c>
    </row>
    <row r="749" spans="1:9" x14ac:dyDescent="0.2">
      <c r="A749" s="2">
        <v>11</v>
      </c>
      <c r="B749" s="1" t="s">
        <v>90</v>
      </c>
      <c r="C749" s="4">
        <v>125</v>
      </c>
      <c r="D749" s="8">
        <v>3.45</v>
      </c>
      <c r="E749" s="4">
        <v>14</v>
      </c>
      <c r="F749" s="8">
        <v>1.18</v>
      </c>
      <c r="G749" s="4">
        <v>111</v>
      </c>
      <c r="H749" s="8">
        <v>4.58</v>
      </c>
      <c r="I749" s="4">
        <v>0</v>
      </c>
    </row>
    <row r="750" spans="1:9" x14ac:dyDescent="0.2">
      <c r="A750" s="2">
        <v>12</v>
      </c>
      <c r="B750" s="1" t="s">
        <v>95</v>
      </c>
      <c r="C750" s="4">
        <v>103</v>
      </c>
      <c r="D750" s="8">
        <v>2.84</v>
      </c>
      <c r="E750" s="4">
        <v>38</v>
      </c>
      <c r="F750" s="8">
        <v>3.19</v>
      </c>
      <c r="G750" s="4">
        <v>65</v>
      </c>
      <c r="H750" s="8">
        <v>2.68</v>
      </c>
      <c r="I750" s="4">
        <v>0</v>
      </c>
    </row>
    <row r="751" spans="1:9" x14ac:dyDescent="0.2">
      <c r="A751" s="2">
        <v>13</v>
      </c>
      <c r="B751" s="1" t="s">
        <v>102</v>
      </c>
      <c r="C751" s="4">
        <v>89</v>
      </c>
      <c r="D751" s="8">
        <v>2.46</v>
      </c>
      <c r="E751" s="4">
        <v>25</v>
      </c>
      <c r="F751" s="8">
        <v>2.1</v>
      </c>
      <c r="G751" s="4">
        <v>64</v>
      </c>
      <c r="H751" s="8">
        <v>2.64</v>
      </c>
      <c r="I751" s="4">
        <v>0</v>
      </c>
    </row>
    <row r="752" spans="1:9" x14ac:dyDescent="0.2">
      <c r="A752" s="2">
        <v>14</v>
      </c>
      <c r="B752" s="1" t="s">
        <v>99</v>
      </c>
      <c r="C752" s="4">
        <v>78</v>
      </c>
      <c r="D752" s="8">
        <v>2.15</v>
      </c>
      <c r="E752" s="4">
        <v>4</v>
      </c>
      <c r="F752" s="8">
        <v>0.34</v>
      </c>
      <c r="G752" s="4">
        <v>74</v>
      </c>
      <c r="H752" s="8">
        <v>3.05</v>
      </c>
      <c r="I752" s="4">
        <v>0</v>
      </c>
    </row>
    <row r="753" spans="1:9" x14ac:dyDescent="0.2">
      <c r="A753" s="2">
        <v>15</v>
      </c>
      <c r="B753" s="1" t="s">
        <v>107</v>
      </c>
      <c r="C753" s="4">
        <v>65</v>
      </c>
      <c r="D753" s="8">
        <v>1.79</v>
      </c>
      <c r="E753" s="4">
        <v>1</v>
      </c>
      <c r="F753" s="8">
        <v>0.08</v>
      </c>
      <c r="G753" s="4">
        <v>64</v>
      </c>
      <c r="H753" s="8">
        <v>2.64</v>
      </c>
      <c r="I753" s="4">
        <v>0</v>
      </c>
    </row>
    <row r="754" spans="1:9" x14ac:dyDescent="0.2">
      <c r="A754" s="2">
        <v>16</v>
      </c>
      <c r="B754" s="1" t="s">
        <v>97</v>
      </c>
      <c r="C754" s="4">
        <v>64</v>
      </c>
      <c r="D754" s="8">
        <v>1.77</v>
      </c>
      <c r="E754" s="4">
        <v>22</v>
      </c>
      <c r="F754" s="8">
        <v>1.85</v>
      </c>
      <c r="G754" s="4">
        <v>42</v>
      </c>
      <c r="H754" s="8">
        <v>1.73</v>
      </c>
      <c r="I754" s="4">
        <v>0</v>
      </c>
    </row>
    <row r="755" spans="1:9" x14ac:dyDescent="0.2">
      <c r="A755" s="2">
        <v>17</v>
      </c>
      <c r="B755" s="1" t="s">
        <v>91</v>
      </c>
      <c r="C755" s="4">
        <v>61</v>
      </c>
      <c r="D755" s="8">
        <v>1.68</v>
      </c>
      <c r="E755" s="4">
        <v>4</v>
      </c>
      <c r="F755" s="8">
        <v>0.34</v>
      </c>
      <c r="G755" s="4">
        <v>57</v>
      </c>
      <c r="H755" s="8">
        <v>2.35</v>
      </c>
      <c r="I755" s="4">
        <v>0</v>
      </c>
    </row>
    <row r="756" spans="1:9" x14ac:dyDescent="0.2">
      <c r="A756" s="2">
        <v>18</v>
      </c>
      <c r="B756" s="1" t="s">
        <v>94</v>
      </c>
      <c r="C756" s="4">
        <v>58</v>
      </c>
      <c r="D756" s="8">
        <v>1.6</v>
      </c>
      <c r="E756" s="4">
        <v>5</v>
      </c>
      <c r="F756" s="8">
        <v>0.42</v>
      </c>
      <c r="G756" s="4">
        <v>53</v>
      </c>
      <c r="H756" s="8">
        <v>2.19</v>
      </c>
      <c r="I756" s="4">
        <v>0</v>
      </c>
    </row>
    <row r="757" spans="1:9" x14ac:dyDescent="0.2">
      <c r="A757" s="2">
        <v>19</v>
      </c>
      <c r="B757" s="1" t="s">
        <v>115</v>
      </c>
      <c r="C757" s="4">
        <v>52</v>
      </c>
      <c r="D757" s="8">
        <v>1.44</v>
      </c>
      <c r="E757" s="4">
        <v>17</v>
      </c>
      <c r="F757" s="8">
        <v>1.43</v>
      </c>
      <c r="G757" s="4">
        <v>35</v>
      </c>
      <c r="H757" s="8">
        <v>1.44</v>
      </c>
      <c r="I757" s="4">
        <v>0</v>
      </c>
    </row>
    <row r="758" spans="1:9" x14ac:dyDescent="0.2">
      <c r="A758" s="2">
        <v>20</v>
      </c>
      <c r="B758" s="1" t="s">
        <v>93</v>
      </c>
      <c r="C758" s="4">
        <v>50</v>
      </c>
      <c r="D758" s="8">
        <v>1.38</v>
      </c>
      <c r="E758" s="4">
        <v>4</v>
      </c>
      <c r="F758" s="8">
        <v>0.34</v>
      </c>
      <c r="G758" s="4">
        <v>46</v>
      </c>
      <c r="H758" s="8">
        <v>1.9</v>
      </c>
      <c r="I758" s="4">
        <v>0</v>
      </c>
    </row>
    <row r="759" spans="1:9" x14ac:dyDescent="0.2">
      <c r="A759" s="1"/>
      <c r="C759" s="4"/>
      <c r="D759" s="8"/>
      <c r="E759" s="4"/>
      <c r="F759" s="8"/>
      <c r="G759" s="4"/>
      <c r="H759" s="8"/>
      <c r="I759" s="4"/>
    </row>
    <row r="760" spans="1:9" x14ac:dyDescent="0.2">
      <c r="A760" s="1" t="s">
        <v>34</v>
      </c>
      <c r="C760" s="4"/>
      <c r="D760" s="8"/>
      <c r="E760" s="4"/>
      <c r="F760" s="8"/>
      <c r="G760" s="4"/>
      <c r="H760" s="8"/>
      <c r="I760" s="4"/>
    </row>
    <row r="761" spans="1:9" x14ac:dyDescent="0.2">
      <c r="A761" s="2">
        <v>1</v>
      </c>
      <c r="B761" s="1" t="s">
        <v>100</v>
      </c>
      <c r="C761" s="4">
        <v>669</v>
      </c>
      <c r="D761" s="8">
        <v>10.66</v>
      </c>
      <c r="E761" s="4">
        <v>136</v>
      </c>
      <c r="F761" s="8">
        <v>6.32</v>
      </c>
      <c r="G761" s="4">
        <v>532</v>
      </c>
      <c r="H761" s="8">
        <v>12.94</v>
      </c>
      <c r="I761" s="4">
        <v>1</v>
      </c>
    </row>
    <row r="762" spans="1:9" x14ac:dyDescent="0.2">
      <c r="A762" s="2">
        <v>2</v>
      </c>
      <c r="B762" s="1" t="s">
        <v>104</v>
      </c>
      <c r="C762" s="4">
        <v>526</v>
      </c>
      <c r="D762" s="8">
        <v>8.3800000000000008</v>
      </c>
      <c r="E762" s="4">
        <v>392</v>
      </c>
      <c r="F762" s="8">
        <v>18.22</v>
      </c>
      <c r="G762" s="4">
        <v>134</v>
      </c>
      <c r="H762" s="8">
        <v>3.26</v>
      </c>
      <c r="I762" s="4">
        <v>0</v>
      </c>
    </row>
    <row r="763" spans="1:9" x14ac:dyDescent="0.2">
      <c r="A763" s="2">
        <v>3</v>
      </c>
      <c r="B763" s="1" t="s">
        <v>103</v>
      </c>
      <c r="C763" s="4">
        <v>468</v>
      </c>
      <c r="D763" s="8">
        <v>7.45</v>
      </c>
      <c r="E763" s="4">
        <v>343</v>
      </c>
      <c r="F763" s="8">
        <v>15.95</v>
      </c>
      <c r="G763" s="4">
        <v>125</v>
      </c>
      <c r="H763" s="8">
        <v>3.04</v>
      </c>
      <c r="I763" s="4">
        <v>0</v>
      </c>
    </row>
    <row r="764" spans="1:9" x14ac:dyDescent="0.2">
      <c r="A764" s="2">
        <v>4</v>
      </c>
      <c r="B764" s="1" t="s">
        <v>88</v>
      </c>
      <c r="C764" s="4">
        <v>369</v>
      </c>
      <c r="D764" s="8">
        <v>5.88</v>
      </c>
      <c r="E764" s="4">
        <v>33</v>
      </c>
      <c r="F764" s="8">
        <v>1.53</v>
      </c>
      <c r="G764" s="4">
        <v>336</v>
      </c>
      <c r="H764" s="8">
        <v>8.18</v>
      </c>
      <c r="I764" s="4">
        <v>0</v>
      </c>
    </row>
    <row r="765" spans="1:9" x14ac:dyDescent="0.2">
      <c r="A765" s="2">
        <v>5</v>
      </c>
      <c r="B765" s="1" t="s">
        <v>98</v>
      </c>
      <c r="C765" s="4">
        <v>361</v>
      </c>
      <c r="D765" s="8">
        <v>5.75</v>
      </c>
      <c r="E765" s="4">
        <v>134</v>
      </c>
      <c r="F765" s="8">
        <v>6.23</v>
      </c>
      <c r="G765" s="4">
        <v>227</v>
      </c>
      <c r="H765" s="8">
        <v>5.52</v>
      </c>
      <c r="I765" s="4">
        <v>0</v>
      </c>
    </row>
    <row r="766" spans="1:9" x14ac:dyDescent="0.2">
      <c r="A766" s="2">
        <v>6</v>
      </c>
      <c r="B766" s="1" t="s">
        <v>89</v>
      </c>
      <c r="C766" s="4">
        <v>331</v>
      </c>
      <c r="D766" s="8">
        <v>5.27</v>
      </c>
      <c r="E766" s="4">
        <v>65</v>
      </c>
      <c r="F766" s="8">
        <v>3.02</v>
      </c>
      <c r="G766" s="4">
        <v>266</v>
      </c>
      <c r="H766" s="8">
        <v>6.47</v>
      </c>
      <c r="I766" s="4">
        <v>0</v>
      </c>
    </row>
    <row r="767" spans="1:9" x14ac:dyDescent="0.2">
      <c r="A767" s="2">
        <v>7</v>
      </c>
      <c r="B767" s="1" t="s">
        <v>105</v>
      </c>
      <c r="C767" s="4">
        <v>328</v>
      </c>
      <c r="D767" s="8">
        <v>5.22</v>
      </c>
      <c r="E767" s="4">
        <v>205</v>
      </c>
      <c r="F767" s="8">
        <v>9.5299999999999994</v>
      </c>
      <c r="G767" s="4">
        <v>121</v>
      </c>
      <c r="H767" s="8">
        <v>2.94</v>
      </c>
      <c r="I767" s="4">
        <v>1</v>
      </c>
    </row>
    <row r="768" spans="1:9" x14ac:dyDescent="0.2">
      <c r="A768" s="2">
        <v>8</v>
      </c>
      <c r="B768" s="1" t="s">
        <v>101</v>
      </c>
      <c r="C768" s="4">
        <v>318</v>
      </c>
      <c r="D768" s="8">
        <v>5.07</v>
      </c>
      <c r="E768" s="4">
        <v>140</v>
      </c>
      <c r="F768" s="8">
        <v>6.51</v>
      </c>
      <c r="G768" s="4">
        <v>177</v>
      </c>
      <c r="H768" s="8">
        <v>4.3099999999999996</v>
      </c>
      <c r="I768" s="4">
        <v>1</v>
      </c>
    </row>
    <row r="769" spans="1:9" x14ac:dyDescent="0.2">
      <c r="A769" s="2">
        <v>9</v>
      </c>
      <c r="B769" s="1" t="s">
        <v>106</v>
      </c>
      <c r="C769" s="4">
        <v>275</v>
      </c>
      <c r="D769" s="8">
        <v>4.38</v>
      </c>
      <c r="E769" s="4">
        <v>219</v>
      </c>
      <c r="F769" s="8">
        <v>10.18</v>
      </c>
      <c r="G769" s="4">
        <v>56</v>
      </c>
      <c r="H769" s="8">
        <v>1.36</v>
      </c>
      <c r="I769" s="4">
        <v>0</v>
      </c>
    </row>
    <row r="770" spans="1:9" x14ac:dyDescent="0.2">
      <c r="A770" s="2">
        <v>10</v>
      </c>
      <c r="B770" s="1" t="s">
        <v>90</v>
      </c>
      <c r="C770" s="4">
        <v>249</v>
      </c>
      <c r="D770" s="8">
        <v>3.97</v>
      </c>
      <c r="E770" s="4">
        <v>24</v>
      </c>
      <c r="F770" s="8">
        <v>1.1200000000000001</v>
      </c>
      <c r="G770" s="4">
        <v>224</v>
      </c>
      <c r="H770" s="8">
        <v>5.45</v>
      </c>
      <c r="I770" s="4">
        <v>1</v>
      </c>
    </row>
    <row r="771" spans="1:9" x14ac:dyDescent="0.2">
      <c r="A771" s="2">
        <v>11</v>
      </c>
      <c r="B771" s="1" t="s">
        <v>102</v>
      </c>
      <c r="C771" s="4">
        <v>211</v>
      </c>
      <c r="D771" s="8">
        <v>3.36</v>
      </c>
      <c r="E771" s="4">
        <v>58</v>
      </c>
      <c r="F771" s="8">
        <v>2.7</v>
      </c>
      <c r="G771" s="4">
        <v>150</v>
      </c>
      <c r="H771" s="8">
        <v>3.65</v>
      </c>
      <c r="I771" s="4">
        <v>2</v>
      </c>
    </row>
    <row r="772" spans="1:9" x14ac:dyDescent="0.2">
      <c r="A772" s="2">
        <v>12</v>
      </c>
      <c r="B772" s="1" t="s">
        <v>96</v>
      </c>
      <c r="C772" s="4">
        <v>183</v>
      </c>
      <c r="D772" s="8">
        <v>2.91</v>
      </c>
      <c r="E772" s="4">
        <v>87</v>
      </c>
      <c r="F772" s="8">
        <v>4.04</v>
      </c>
      <c r="G772" s="4">
        <v>95</v>
      </c>
      <c r="H772" s="8">
        <v>2.31</v>
      </c>
      <c r="I772" s="4">
        <v>1</v>
      </c>
    </row>
    <row r="773" spans="1:9" x14ac:dyDescent="0.2">
      <c r="A773" s="2">
        <v>13</v>
      </c>
      <c r="B773" s="1" t="s">
        <v>95</v>
      </c>
      <c r="C773" s="4">
        <v>178</v>
      </c>
      <c r="D773" s="8">
        <v>2.84</v>
      </c>
      <c r="E773" s="4">
        <v>48</v>
      </c>
      <c r="F773" s="8">
        <v>2.23</v>
      </c>
      <c r="G773" s="4">
        <v>130</v>
      </c>
      <c r="H773" s="8">
        <v>3.16</v>
      </c>
      <c r="I773" s="4">
        <v>0</v>
      </c>
    </row>
    <row r="774" spans="1:9" x14ac:dyDescent="0.2">
      <c r="A774" s="2">
        <v>14</v>
      </c>
      <c r="B774" s="1" t="s">
        <v>97</v>
      </c>
      <c r="C774" s="4">
        <v>154</v>
      </c>
      <c r="D774" s="8">
        <v>2.4500000000000002</v>
      </c>
      <c r="E774" s="4">
        <v>49</v>
      </c>
      <c r="F774" s="8">
        <v>2.2799999999999998</v>
      </c>
      <c r="G774" s="4">
        <v>105</v>
      </c>
      <c r="H774" s="8">
        <v>2.5499999999999998</v>
      </c>
      <c r="I774" s="4">
        <v>0</v>
      </c>
    </row>
    <row r="775" spans="1:9" x14ac:dyDescent="0.2">
      <c r="A775" s="2">
        <v>15</v>
      </c>
      <c r="B775" s="1" t="s">
        <v>99</v>
      </c>
      <c r="C775" s="4">
        <v>143</v>
      </c>
      <c r="D775" s="8">
        <v>2.2799999999999998</v>
      </c>
      <c r="E775" s="4">
        <v>4</v>
      </c>
      <c r="F775" s="8">
        <v>0.19</v>
      </c>
      <c r="G775" s="4">
        <v>138</v>
      </c>
      <c r="H775" s="8">
        <v>3.36</v>
      </c>
      <c r="I775" s="4">
        <v>1</v>
      </c>
    </row>
    <row r="776" spans="1:9" x14ac:dyDescent="0.2">
      <c r="A776" s="2">
        <v>16</v>
      </c>
      <c r="B776" s="1" t="s">
        <v>115</v>
      </c>
      <c r="C776" s="4">
        <v>128</v>
      </c>
      <c r="D776" s="8">
        <v>2.04</v>
      </c>
      <c r="E776" s="4">
        <v>42</v>
      </c>
      <c r="F776" s="8">
        <v>1.95</v>
      </c>
      <c r="G776" s="4">
        <v>85</v>
      </c>
      <c r="H776" s="8">
        <v>2.0699999999999998</v>
      </c>
      <c r="I776" s="4">
        <v>1</v>
      </c>
    </row>
    <row r="777" spans="1:9" x14ac:dyDescent="0.2">
      <c r="A777" s="2">
        <v>17</v>
      </c>
      <c r="B777" s="1" t="s">
        <v>91</v>
      </c>
      <c r="C777" s="4">
        <v>115</v>
      </c>
      <c r="D777" s="8">
        <v>1.83</v>
      </c>
      <c r="E777" s="4">
        <v>2</v>
      </c>
      <c r="F777" s="8">
        <v>0.09</v>
      </c>
      <c r="G777" s="4">
        <v>113</v>
      </c>
      <c r="H777" s="8">
        <v>2.75</v>
      </c>
      <c r="I777" s="4">
        <v>0</v>
      </c>
    </row>
    <row r="778" spans="1:9" x14ac:dyDescent="0.2">
      <c r="A778" s="2">
        <v>18</v>
      </c>
      <c r="B778" s="1" t="s">
        <v>93</v>
      </c>
      <c r="C778" s="4">
        <v>94</v>
      </c>
      <c r="D778" s="8">
        <v>1.5</v>
      </c>
      <c r="E778" s="4">
        <v>2</v>
      </c>
      <c r="F778" s="8">
        <v>0.09</v>
      </c>
      <c r="G778" s="4">
        <v>92</v>
      </c>
      <c r="H778" s="8">
        <v>2.2400000000000002</v>
      </c>
      <c r="I778" s="4">
        <v>0</v>
      </c>
    </row>
    <row r="779" spans="1:9" x14ac:dyDescent="0.2">
      <c r="A779" s="2">
        <v>19</v>
      </c>
      <c r="B779" s="1" t="s">
        <v>132</v>
      </c>
      <c r="C779" s="4">
        <v>89</v>
      </c>
      <c r="D779" s="8">
        <v>1.42</v>
      </c>
      <c r="E779" s="4">
        <v>5</v>
      </c>
      <c r="F779" s="8">
        <v>0.23</v>
      </c>
      <c r="G779" s="4">
        <v>83</v>
      </c>
      <c r="H779" s="8">
        <v>2.02</v>
      </c>
      <c r="I779" s="4">
        <v>0</v>
      </c>
    </row>
    <row r="780" spans="1:9" x14ac:dyDescent="0.2">
      <c r="A780" s="2">
        <v>20</v>
      </c>
      <c r="B780" s="1" t="s">
        <v>107</v>
      </c>
      <c r="C780" s="4">
        <v>87</v>
      </c>
      <c r="D780" s="8">
        <v>1.39</v>
      </c>
      <c r="E780" s="4">
        <v>4</v>
      </c>
      <c r="F780" s="8">
        <v>0.19</v>
      </c>
      <c r="G780" s="4">
        <v>83</v>
      </c>
      <c r="H780" s="8">
        <v>2.02</v>
      </c>
      <c r="I780" s="4">
        <v>0</v>
      </c>
    </row>
    <row r="781" spans="1:9" x14ac:dyDescent="0.2">
      <c r="A781" s="1"/>
      <c r="C781" s="4"/>
      <c r="D781" s="8"/>
      <c r="E781" s="4"/>
      <c r="F781" s="8"/>
      <c r="G781" s="4"/>
      <c r="H781" s="8"/>
      <c r="I781" s="4"/>
    </row>
    <row r="782" spans="1:9" x14ac:dyDescent="0.2">
      <c r="A782" s="1" t="s">
        <v>35</v>
      </c>
      <c r="C782" s="4"/>
      <c r="D782" s="8"/>
      <c r="E782" s="4"/>
      <c r="F782" s="8"/>
      <c r="G782" s="4"/>
      <c r="H782" s="8"/>
      <c r="I782" s="4"/>
    </row>
    <row r="783" spans="1:9" x14ac:dyDescent="0.2">
      <c r="A783" s="2">
        <v>1</v>
      </c>
      <c r="B783" s="1" t="s">
        <v>100</v>
      </c>
      <c r="C783" s="4">
        <v>232</v>
      </c>
      <c r="D783" s="8">
        <v>13.93</v>
      </c>
      <c r="E783" s="4">
        <v>43</v>
      </c>
      <c r="F783" s="8">
        <v>6.76</v>
      </c>
      <c r="G783" s="4">
        <v>189</v>
      </c>
      <c r="H783" s="8">
        <v>18.510000000000002</v>
      </c>
      <c r="I783" s="4">
        <v>0</v>
      </c>
    </row>
    <row r="784" spans="1:9" x14ac:dyDescent="0.2">
      <c r="A784" s="2">
        <v>2</v>
      </c>
      <c r="B784" s="1" t="s">
        <v>103</v>
      </c>
      <c r="C784" s="4">
        <v>166</v>
      </c>
      <c r="D784" s="8">
        <v>9.9700000000000006</v>
      </c>
      <c r="E784" s="4">
        <v>120</v>
      </c>
      <c r="F784" s="8">
        <v>18.87</v>
      </c>
      <c r="G784" s="4">
        <v>46</v>
      </c>
      <c r="H784" s="8">
        <v>4.51</v>
      </c>
      <c r="I784" s="4">
        <v>0</v>
      </c>
    </row>
    <row r="785" spans="1:9" x14ac:dyDescent="0.2">
      <c r="A785" s="2">
        <v>3</v>
      </c>
      <c r="B785" s="1" t="s">
        <v>104</v>
      </c>
      <c r="C785" s="4">
        <v>160</v>
      </c>
      <c r="D785" s="8">
        <v>9.61</v>
      </c>
      <c r="E785" s="4">
        <v>110</v>
      </c>
      <c r="F785" s="8">
        <v>17.3</v>
      </c>
      <c r="G785" s="4">
        <v>50</v>
      </c>
      <c r="H785" s="8">
        <v>4.9000000000000004</v>
      </c>
      <c r="I785" s="4">
        <v>0</v>
      </c>
    </row>
    <row r="786" spans="1:9" x14ac:dyDescent="0.2">
      <c r="A786" s="2">
        <v>4</v>
      </c>
      <c r="B786" s="1" t="s">
        <v>98</v>
      </c>
      <c r="C786" s="4">
        <v>102</v>
      </c>
      <c r="D786" s="8">
        <v>6.13</v>
      </c>
      <c r="E786" s="4">
        <v>39</v>
      </c>
      <c r="F786" s="8">
        <v>6.13</v>
      </c>
      <c r="G786" s="4">
        <v>63</v>
      </c>
      <c r="H786" s="8">
        <v>6.17</v>
      </c>
      <c r="I786" s="4">
        <v>0</v>
      </c>
    </row>
    <row r="787" spans="1:9" x14ac:dyDescent="0.2">
      <c r="A787" s="2">
        <v>4</v>
      </c>
      <c r="B787" s="1" t="s">
        <v>106</v>
      </c>
      <c r="C787" s="4">
        <v>102</v>
      </c>
      <c r="D787" s="8">
        <v>6.13</v>
      </c>
      <c r="E787" s="4">
        <v>86</v>
      </c>
      <c r="F787" s="8">
        <v>13.52</v>
      </c>
      <c r="G787" s="4">
        <v>16</v>
      </c>
      <c r="H787" s="8">
        <v>1.57</v>
      </c>
      <c r="I787" s="4">
        <v>0</v>
      </c>
    </row>
    <row r="788" spans="1:9" x14ac:dyDescent="0.2">
      <c r="A788" s="2">
        <v>6</v>
      </c>
      <c r="B788" s="1" t="s">
        <v>101</v>
      </c>
      <c r="C788" s="4">
        <v>97</v>
      </c>
      <c r="D788" s="8">
        <v>5.83</v>
      </c>
      <c r="E788" s="4">
        <v>43</v>
      </c>
      <c r="F788" s="8">
        <v>6.76</v>
      </c>
      <c r="G788" s="4">
        <v>54</v>
      </c>
      <c r="H788" s="8">
        <v>5.29</v>
      </c>
      <c r="I788" s="4">
        <v>0</v>
      </c>
    </row>
    <row r="789" spans="1:9" x14ac:dyDescent="0.2">
      <c r="A789" s="2">
        <v>7</v>
      </c>
      <c r="B789" s="1" t="s">
        <v>105</v>
      </c>
      <c r="C789" s="4">
        <v>78</v>
      </c>
      <c r="D789" s="8">
        <v>4.68</v>
      </c>
      <c r="E789" s="4">
        <v>43</v>
      </c>
      <c r="F789" s="8">
        <v>6.76</v>
      </c>
      <c r="G789" s="4">
        <v>29</v>
      </c>
      <c r="H789" s="8">
        <v>2.84</v>
      </c>
      <c r="I789" s="4">
        <v>1</v>
      </c>
    </row>
    <row r="790" spans="1:9" x14ac:dyDescent="0.2">
      <c r="A790" s="2">
        <v>8</v>
      </c>
      <c r="B790" s="1" t="s">
        <v>96</v>
      </c>
      <c r="C790" s="4">
        <v>65</v>
      </c>
      <c r="D790" s="8">
        <v>3.9</v>
      </c>
      <c r="E790" s="4">
        <v>46</v>
      </c>
      <c r="F790" s="8">
        <v>7.23</v>
      </c>
      <c r="G790" s="4">
        <v>19</v>
      </c>
      <c r="H790" s="8">
        <v>1.86</v>
      </c>
      <c r="I790" s="4">
        <v>0</v>
      </c>
    </row>
    <row r="791" spans="1:9" x14ac:dyDescent="0.2">
      <c r="A791" s="2">
        <v>9</v>
      </c>
      <c r="B791" s="1" t="s">
        <v>88</v>
      </c>
      <c r="C791" s="4">
        <v>51</v>
      </c>
      <c r="D791" s="8">
        <v>3.06</v>
      </c>
      <c r="E791" s="4">
        <v>4</v>
      </c>
      <c r="F791" s="8">
        <v>0.63</v>
      </c>
      <c r="G791" s="4">
        <v>47</v>
      </c>
      <c r="H791" s="8">
        <v>4.5999999999999996</v>
      </c>
      <c r="I791" s="4">
        <v>0</v>
      </c>
    </row>
    <row r="792" spans="1:9" x14ac:dyDescent="0.2">
      <c r="A792" s="2">
        <v>10</v>
      </c>
      <c r="B792" s="1" t="s">
        <v>89</v>
      </c>
      <c r="C792" s="4">
        <v>50</v>
      </c>
      <c r="D792" s="8">
        <v>3</v>
      </c>
      <c r="E792" s="4">
        <v>6</v>
      </c>
      <c r="F792" s="8">
        <v>0.94</v>
      </c>
      <c r="G792" s="4">
        <v>44</v>
      </c>
      <c r="H792" s="8">
        <v>4.3099999999999996</v>
      </c>
      <c r="I792" s="4">
        <v>0</v>
      </c>
    </row>
    <row r="793" spans="1:9" x14ac:dyDescent="0.2">
      <c r="A793" s="2">
        <v>10</v>
      </c>
      <c r="B793" s="1" t="s">
        <v>99</v>
      </c>
      <c r="C793" s="4">
        <v>50</v>
      </c>
      <c r="D793" s="8">
        <v>3</v>
      </c>
      <c r="E793" s="4">
        <v>0</v>
      </c>
      <c r="F793" s="8">
        <v>0</v>
      </c>
      <c r="G793" s="4">
        <v>50</v>
      </c>
      <c r="H793" s="8">
        <v>4.9000000000000004</v>
      </c>
      <c r="I793" s="4">
        <v>0</v>
      </c>
    </row>
    <row r="794" spans="1:9" x14ac:dyDescent="0.2">
      <c r="A794" s="2">
        <v>12</v>
      </c>
      <c r="B794" s="1" t="s">
        <v>102</v>
      </c>
      <c r="C794" s="4">
        <v>49</v>
      </c>
      <c r="D794" s="8">
        <v>2.94</v>
      </c>
      <c r="E794" s="4">
        <v>16</v>
      </c>
      <c r="F794" s="8">
        <v>2.52</v>
      </c>
      <c r="G794" s="4">
        <v>33</v>
      </c>
      <c r="H794" s="8">
        <v>3.23</v>
      </c>
      <c r="I794" s="4">
        <v>0</v>
      </c>
    </row>
    <row r="795" spans="1:9" x14ac:dyDescent="0.2">
      <c r="A795" s="2">
        <v>13</v>
      </c>
      <c r="B795" s="1" t="s">
        <v>90</v>
      </c>
      <c r="C795" s="4">
        <v>47</v>
      </c>
      <c r="D795" s="8">
        <v>2.82</v>
      </c>
      <c r="E795" s="4">
        <v>4</v>
      </c>
      <c r="F795" s="8">
        <v>0.63</v>
      </c>
      <c r="G795" s="4">
        <v>43</v>
      </c>
      <c r="H795" s="8">
        <v>4.21</v>
      </c>
      <c r="I795" s="4">
        <v>0</v>
      </c>
    </row>
    <row r="796" spans="1:9" x14ac:dyDescent="0.2">
      <c r="A796" s="2">
        <v>14</v>
      </c>
      <c r="B796" s="1" t="s">
        <v>132</v>
      </c>
      <c r="C796" s="4">
        <v>32</v>
      </c>
      <c r="D796" s="8">
        <v>1.92</v>
      </c>
      <c r="E796" s="4">
        <v>1</v>
      </c>
      <c r="F796" s="8">
        <v>0.16</v>
      </c>
      <c r="G796" s="4">
        <v>30</v>
      </c>
      <c r="H796" s="8">
        <v>2.94</v>
      </c>
      <c r="I796" s="4">
        <v>0</v>
      </c>
    </row>
    <row r="797" spans="1:9" x14ac:dyDescent="0.2">
      <c r="A797" s="2">
        <v>15</v>
      </c>
      <c r="B797" s="1" t="s">
        <v>97</v>
      </c>
      <c r="C797" s="4">
        <v>31</v>
      </c>
      <c r="D797" s="8">
        <v>1.86</v>
      </c>
      <c r="E797" s="4">
        <v>13</v>
      </c>
      <c r="F797" s="8">
        <v>2.04</v>
      </c>
      <c r="G797" s="4">
        <v>18</v>
      </c>
      <c r="H797" s="8">
        <v>1.76</v>
      </c>
      <c r="I797" s="4">
        <v>0</v>
      </c>
    </row>
    <row r="798" spans="1:9" x14ac:dyDescent="0.2">
      <c r="A798" s="2">
        <v>16</v>
      </c>
      <c r="B798" s="1" t="s">
        <v>95</v>
      </c>
      <c r="C798" s="4">
        <v>30</v>
      </c>
      <c r="D798" s="8">
        <v>1.8</v>
      </c>
      <c r="E798" s="4">
        <v>17</v>
      </c>
      <c r="F798" s="8">
        <v>2.67</v>
      </c>
      <c r="G798" s="4">
        <v>13</v>
      </c>
      <c r="H798" s="8">
        <v>1.27</v>
      </c>
      <c r="I798" s="4">
        <v>0</v>
      </c>
    </row>
    <row r="799" spans="1:9" x14ac:dyDescent="0.2">
      <c r="A799" s="2">
        <v>17</v>
      </c>
      <c r="B799" s="1" t="s">
        <v>107</v>
      </c>
      <c r="C799" s="4">
        <v>28</v>
      </c>
      <c r="D799" s="8">
        <v>1.68</v>
      </c>
      <c r="E799" s="4">
        <v>1</v>
      </c>
      <c r="F799" s="8">
        <v>0.16</v>
      </c>
      <c r="G799" s="4">
        <v>26</v>
      </c>
      <c r="H799" s="8">
        <v>2.5499999999999998</v>
      </c>
      <c r="I799" s="4">
        <v>1</v>
      </c>
    </row>
    <row r="800" spans="1:9" x14ac:dyDescent="0.2">
      <c r="A800" s="2">
        <v>18</v>
      </c>
      <c r="B800" s="1" t="s">
        <v>115</v>
      </c>
      <c r="C800" s="4">
        <v>26</v>
      </c>
      <c r="D800" s="8">
        <v>1.56</v>
      </c>
      <c r="E800" s="4">
        <v>9</v>
      </c>
      <c r="F800" s="8">
        <v>1.42</v>
      </c>
      <c r="G800" s="4">
        <v>17</v>
      </c>
      <c r="H800" s="8">
        <v>1.67</v>
      </c>
      <c r="I800" s="4">
        <v>0</v>
      </c>
    </row>
    <row r="801" spans="1:9" x14ac:dyDescent="0.2">
      <c r="A801" s="2">
        <v>19</v>
      </c>
      <c r="B801" s="1" t="s">
        <v>129</v>
      </c>
      <c r="C801" s="4">
        <v>25</v>
      </c>
      <c r="D801" s="8">
        <v>1.5</v>
      </c>
      <c r="E801" s="4">
        <v>2</v>
      </c>
      <c r="F801" s="8">
        <v>0.31</v>
      </c>
      <c r="G801" s="4">
        <v>23</v>
      </c>
      <c r="H801" s="8">
        <v>2.25</v>
      </c>
      <c r="I801" s="4">
        <v>0</v>
      </c>
    </row>
    <row r="802" spans="1:9" x14ac:dyDescent="0.2">
      <c r="A802" s="2">
        <v>20</v>
      </c>
      <c r="B802" s="1" t="s">
        <v>94</v>
      </c>
      <c r="C802" s="4">
        <v>24</v>
      </c>
      <c r="D802" s="8">
        <v>1.44</v>
      </c>
      <c r="E802" s="4">
        <v>1</v>
      </c>
      <c r="F802" s="8">
        <v>0.16</v>
      </c>
      <c r="G802" s="4">
        <v>23</v>
      </c>
      <c r="H802" s="8">
        <v>2.25</v>
      </c>
      <c r="I802" s="4">
        <v>0</v>
      </c>
    </row>
    <row r="803" spans="1:9" x14ac:dyDescent="0.2">
      <c r="A803" s="1"/>
      <c r="C803" s="4"/>
      <c r="D803" s="8"/>
      <c r="E803" s="4"/>
      <c r="F803" s="8"/>
      <c r="G803" s="4"/>
      <c r="H803" s="8"/>
      <c r="I803" s="4"/>
    </row>
    <row r="804" spans="1:9" x14ac:dyDescent="0.2">
      <c r="A804" s="1" t="s">
        <v>36</v>
      </c>
      <c r="C804" s="4"/>
      <c r="D804" s="8"/>
      <c r="E804" s="4"/>
      <c r="F804" s="8"/>
      <c r="G804" s="4"/>
      <c r="H804" s="8"/>
      <c r="I804" s="4"/>
    </row>
    <row r="805" spans="1:9" x14ac:dyDescent="0.2">
      <c r="A805" s="2">
        <v>1</v>
      </c>
      <c r="B805" s="1" t="s">
        <v>100</v>
      </c>
      <c r="C805" s="4">
        <v>296</v>
      </c>
      <c r="D805" s="8">
        <v>11.49</v>
      </c>
      <c r="E805" s="4">
        <v>85</v>
      </c>
      <c r="F805" s="8">
        <v>7.73</v>
      </c>
      <c r="G805" s="4">
        <v>211</v>
      </c>
      <c r="H805" s="8">
        <v>14.6</v>
      </c>
      <c r="I805" s="4">
        <v>0</v>
      </c>
    </row>
    <row r="806" spans="1:9" x14ac:dyDescent="0.2">
      <c r="A806" s="2">
        <v>2</v>
      </c>
      <c r="B806" s="1" t="s">
        <v>104</v>
      </c>
      <c r="C806" s="4">
        <v>255</v>
      </c>
      <c r="D806" s="8">
        <v>9.9</v>
      </c>
      <c r="E806" s="4">
        <v>191</v>
      </c>
      <c r="F806" s="8">
        <v>17.36</v>
      </c>
      <c r="G806" s="4">
        <v>64</v>
      </c>
      <c r="H806" s="8">
        <v>4.43</v>
      </c>
      <c r="I806" s="4">
        <v>0</v>
      </c>
    </row>
    <row r="807" spans="1:9" x14ac:dyDescent="0.2">
      <c r="A807" s="2">
        <v>3</v>
      </c>
      <c r="B807" s="1" t="s">
        <v>103</v>
      </c>
      <c r="C807" s="4">
        <v>243</v>
      </c>
      <c r="D807" s="8">
        <v>9.43</v>
      </c>
      <c r="E807" s="4">
        <v>202</v>
      </c>
      <c r="F807" s="8">
        <v>18.36</v>
      </c>
      <c r="G807" s="4">
        <v>40</v>
      </c>
      <c r="H807" s="8">
        <v>2.77</v>
      </c>
      <c r="I807" s="4">
        <v>1</v>
      </c>
    </row>
    <row r="808" spans="1:9" x14ac:dyDescent="0.2">
      <c r="A808" s="2">
        <v>4</v>
      </c>
      <c r="B808" s="1" t="s">
        <v>89</v>
      </c>
      <c r="C808" s="4">
        <v>146</v>
      </c>
      <c r="D808" s="8">
        <v>5.67</v>
      </c>
      <c r="E808" s="4">
        <v>34</v>
      </c>
      <c r="F808" s="8">
        <v>3.09</v>
      </c>
      <c r="G808" s="4">
        <v>112</v>
      </c>
      <c r="H808" s="8">
        <v>7.75</v>
      </c>
      <c r="I808" s="4">
        <v>0</v>
      </c>
    </row>
    <row r="809" spans="1:9" x14ac:dyDescent="0.2">
      <c r="A809" s="2">
        <v>5</v>
      </c>
      <c r="B809" s="1" t="s">
        <v>105</v>
      </c>
      <c r="C809" s="4">
        <v>144</v>
      </c>
      <c r="D809" s="8">
        <v>5.59</v>
      </c>
      <c r="E809" s="4">
        <v>108</v>
      </c>
      <c r="F809" s="8">
        <v>9.82</v>
      </c>
      <c r="G809" s="4">
        <v>33</v>
      </c>
      <c r="H809" s="8">
        <v>2.2799999999999998</v>
      </c>
      <c r="I809" s="4">
        <v>0</v>
      </c>
    </row>
    <row r="810" spans="1:9" x14ac:dyDescent="0.2">
      <c r="A810" s="2">
        <v>6</v>
      </c>
      <c r="B810" s="1" t="s">
        <v>88</v>
      </c>
      <c r="C810" s="4">
        <v>134</v>
      </c>
      <c r="D810" s="8">
        <v>5.2</v>
      </c>
      <c r="E810" s="4">
        <v>17</v>
      </c>
      <c r="F810" s="8">
        <v>1.55</v>
      </c>
      <c r="G810" s="4">
        <v>117</v>
      </c>
      <c r="H810" s="8">
        <v>8.1</v>
      </c>
      <c r="I810" s="4">
        <v>0</v>
      </c>
    </row>
    <row r="811" spans="1:9" x14ac:dyDescent="0.2">
      <c r="A811" s="2">
        <v>6</v>
      </c>
      <c r="B811" s="1" t="s">
        <v>98</v>
      </c>
      <c r="C811" s="4">
        <v>134</v>
      </c>
      <c r="D811" s="8">
        <v>5.2</v>
      </c>
      <c r="E811" s="4">
        <v>67</v>
      </c>
      <c r="F811" s="8">
        <v>6.09</v>
      </c>
      <c r="G811" s="4">
        <v>67</v>
      </c>
      <c r="H811" s="8">
        <v>4.6399999999999997</v>
      </c>
      <c r="I811" s="4">
        <v>0</v>
      </c>
    </row>
    <row r="812" spans="1:9" x14ac:dyDescent="0.2">
      <c r="A812" s="2">
        <v>8</v>
      </c>
      <c r="B812" s="1" t="s">
        <v>101</v>
      </c>
      <c r="C812" s="4">
        <v>118</v>
      </c>
      <c r="D812" s="8">
        <v>4.58</v>
      </c>
      <c r="E812" s="4">
        <v>52</v>
      </c>
      <c r="F812" s="8">
        <v>4.7300000000000004</v>
      </c>
      <c r="G812" s="4">
        <v>66</v>
      </c>
      <c r="H812" s="8">
        <v>4.57</v>
      </c>
      <c r="I812" s="4">
        <v>0</v>
      </c>
    </row>
    <row r="813" spans="1:9" x14ac:dyDescent="0.2">
      <c r="A813" s="2">
        <v>8</v>
      </c>
      <c r="B813" s="1" t="s">
        <v>106</v>
      </c>
      <c r="C813" s="4">
        <v>118</v>
      </c>
      <c r="D813" s="8">
        <v>4.58</v>
      </c>
      <c r="E813" s="4">
        <v>105</v>
      </c>
      <c r="F813" s="8">
        <v>9.5500000000000007</v>
      </c>
      <c r="G813" s="4">
        <v>13</v>
      </c>
      <c r="H813" s="8">
        <v>0.9</v>
      </c>
      <c r="I813" s="4">
        <v>0</v>
      </c>
    </row>
    <row r="814" spans="1:9" x14ac:dyDescent="0.2">
      <c r="A814" s="2">
        <v>10</v>
      </c>
      <c r="B814" s="1" t="s">
        <v>96</v>
      </c>
      <c r="C814" s="4">
        <v>107</v>
      </c>
      <c r="D814" s="8">
        <v>4.1500000000000004</v>
      </c>
      <c r="E814" s="4">
        <v>61</v>
      </c>
      <c r="F814" s="8">
        <v>5.55</v>
      </c>
      <c r="G814" s="4">
        <v>46</v>
      </c>
      <c r="H814" s="8">
        <v>3.18</v>
      </c>
      <c r="I814" s="4">
        <v>0</v>
      </c>
    </row>
    <row r="815" spans="1:9" x14ac:dyDescent="0.2">
      <c r="A815" s="2">
        <v>11</v>
      </c>
      <c r="B815" s="1" t="s">
        <v>90</v>
      </c>
      <c r="C815" s="4">
        <v>88</v>
      </c>
      <c r="D815" s="8">
        <v>3.41</v>
      </c>
      <c r="E815" s="4">
        <v>9</v>
      </c>
      <c r="F815" s="8">
        <v>0.82</v>
      </c>
      <c r="G815" s="4">
        <v>79</v>
      </c>
      <c r="H815" s="8">
        <v>5.47</v>
      </c>
      <c r="I815" s="4">
        <v>0</v>
      </c>
    </row>
    <row r="816" spans="1:9" x14ac:dyDescent="0.2">
      <c r="A816" s="2">
        <v>12</v>
      </c>
      <c r="B816" s="1" t="s">
        <v>97</v>
      </c>
      <c r="C816" s="4">
        <v>78</v>
      </c>
      <c r="D816" s="8">
        <v>3.03</v>
      </c>
      <c r="E816" s="4">
        <v>38</v>
      </c>
      <c r="F816" s="8">
        <v>3.45</v>
      </c>
      <c r="G816" s="4">
        <v>40</v>
      </c>
      <c r="H816" s="8">
        <v>2.77</v>
      </c>
      <c r="I816" s="4">
        <v>0</v>
      </c>
    </row>
    <row r="817" spans="1:9" x14ac:dyDescent="0.2">
      <c r="A817" s="2">
        <v>13</v>
      </c>
      <c r="B817" s="1" t="s">
        <v>102</v>
      </c>
      <c r="C817" s="4">
        <v>71</v>
      </c>
      <c r="D817" s="8">
        <v>2.76</v>
      </c>
      <c r="E817" s="4">
        <v>15</v>
      </c>
      <c r="F817" s="8">
        <v>1.36</v>
      </c>
      <c r="G817" s="4">
        <v>54</v>
      </c>
      <c r="H817" s="8">
        <v>3.74</v>
      </c>
      <c r="I817" s="4">
        <v>1</v>
      </c>
    </row>
    <row r="818" spans="1:9" x14ac:dyDescent="0.2">
      <c r="A818" s="2">
        <v>14</v>
      </c>
      <c r="B818" s="1" t="s">
        <v>95</v>
      </c>
      <c r="C818" s="4">
        <v>48</v>
      </c>
      <c r="D818" s="8">
        <v>1.86</v>
      </c>
      <c r="E818" s="4">
        <v>30</v>
      </c>
      <c r="F818" s="8">
        <v>2.73</v>
      </c>
      <c r="G818" s="4">
        <v>18</v>
      </c>
      <c r="H818" s="8">
        <v>1.25</v>
      </c>
      <c r="I818" s="4">
        <v>0</v>
      </c>
    </row>
    <row r="819" spans="1:9" x14ac:dyDescent="0.2">
      <c r="A819" s="2">
        <v>15</v>
      </c>
      <c r="B819" s="1" t="s">
        <v>132</v>
      </c>
      <c r="C819" s="4">
        <v>40</v>
      </c>
      <c r="D819" s="8">
        <v>1.55</v>
      </c>
      <c r="E819" s="4">
        <v>1</v>
      </c>
      <c r="F819" s="8">
        <v>0.09</v>
      </c>
      <c r="G819" s="4">
        <v>32</v>
      </c>
      <c r="H819" s="8">
        <v>2.21</v>
      </c>
      <c r="I819" s="4">
        <v>0</v>
      </c>
    </row>
    <row r="820" spans="1:9" x14ac:dyDescent="0.2">
      <c r="A820" s="2">
        <v>16</v>
      </c>
      <c r="B820" s="1" t="s">
        <v>115</v>
      </c>
      <c r="C820" s="4">
        <v>39</v>
      </c>
      <c r="D820" s="8">
        <v>1.51</v>
      </c>
      <c r="E820" s="4">
        <v>16</v>
      </c>
      <c r="F820" s="8">
        <v>1.45</v>
      </c>
      <c r="G820" s="4">
        <v>23</v>
      </c>
      <c r="H820" s="8">
        <v>1.59</v>
      </c>
      <c r="I820" s="4">
        <v>0</v>
      </c>
    </row>
    <row r="821" spans="1:9" x14ac:dyDescent="0.2">
      <c r="A821" s="2">
        <v>17</v>
      </c>
      <c r="B821" s="1" t="s">
        <v>93</v>
      </c>
      <c r="C821" s="4">
        <v>36</v>
      </c>
      <c r="D821" s="8">
        <v>1.4</v>
      </c>
      <c r="E821" s="4">
        <v>3</v>
      </c>
      <c r="F821" s="8">
        <v>0.27</v>
      </c>
      <c r="G821" s="4">
        <v>33</v>
      </c>
      <c r="H821" s="8">
        <v>2.2799999999999998</v>
      </c>
      <c r="I821" s="4">
        <v>0</v>
      </c>
    </row>
    <row r="822" spans="1:9" x14ac:dyDescent="0.2">
      <c r="A822" s="2">
        <v>18</v>
      </c>
      <c r="B822" s="1" t="s">
        <v>91</v>
      </c>
      <c r="C822" s="4">
        <v>32</v>
      </c>
      <c r="D822" s="8">
        <v>1.24</v>
      </c>
      <c r="E822" s="4">
        <v>0</v>
      </c>
      <c r="F822" s="8">
        <v>0</v>
      </c>
      <c r="G822" s="4">
        <v>32</v>
      </c>
      <c r="H822" s="8">
        <v>2.21</v>
      </c>
      <c r="I822" s="4">
        <v>0</v>
      </c>
    </row>
    <row r="823" spans="1:9" x14ac:dyDescent="0.2">
      <c r="A823" s="2">
        <v>18</v>
      </c>
      <c r="B823" s="1" t="s">
        <v>99</v>
      </c>
      <c r="C823" s="4">
        <v>32</v>
      </c>
      <c r="D823" s="8">
        <v>1.24</v>
      </c>
      <c r="E823" s="4">
        <v>5</v>
      </c>
      <c r="F823" s="8">
        <v>0.45</v>
      </c>
      <c r="G823" s="4">
        <v>27</v>
      </c>
      <c r="H823" s="8">
        <v>1.87</v>
      </c>
      <c r="I823" s="4">
        <v>0</v>
      </c>
    </row>
    <row r="824" spans="1:9" x14ac:dyDescent="0.2">
      <c r="A824" s="2">
        <v>20</v>
      </c>
      <c r="B824" s="1" t="s">
        <v>92</v>
      </c>
      <c r="C824" s="4">
        <v>28</v>
      </c>
      <c r="D824" s="8">
        <v>1.0900000000000001</v>
      </c>
      <c r="E824" s="4">
        <v>5</v>
      </c>
      <c r="F824" s="8">
        <v>0.45</v>
      </c>
      <c r="G824" s="4">
        <v>23</v>
      </c>
      <c r="H824" s="8">
        <v>1.59</v>
      </c>
      <c r="I824" s="4">
        <v>0</v>
      </c>
    </row>
    <row r="825" spans="1:9" x14ac:dyDescent="0.2">
      <c r="A825" s="2">
        <v>20</v>
      </c>
      <c r="B825" s="1" t="s">
        <v>107</v>
      </c>
      <c r="C825" s="4">
        <v>28</v>
      </c>
      <c r="D825" s="8">
        <v>1.0900000000000001</v>
      </c>
      <c r="E825" s="4">
        <v>2</v>
      </c>
      <c r="F825" s="8">
        <v>0.18</v>
      </c>
      <c r="G825" s="4">
        <v>26</v>
      </c>
      <c r="H825" s="8">
        <v>1.8</v>
      </c>
      <c r="I825" s="4">
        <v>0</v>
      </c>
    </row>
    <row r="826" spans="1:9" x14ac:dyDescent="0.2">
      <c r="A826" s="1"/>
      <c r="C826" s="4"/>
      <c r="D826" s="8"/>
      <c r="E826" s="4"/>
      <c r="F826" s="8"/>
      <c r="G826" s="4"/>
      <c r="H826" s="8"/>
      <c r="I826" s="4"/>
    </row>
    <row r="827" spans="1:9" x14ac:dyDescent="0.2">
      <c r="A827" s="1" t="s">
        <v>37</v>
      </c>
      <c r="C827" s="4"/>
      <c r="D827" s="8"/>
      <c r="E827" s="4"/>
      <c r="F827" s="8"/>
      <c r="G827" s="4"/>
      <c r="H827" s="8"/>
      <c r="I827" s="4"/>
    </row>
    <row r="828" spans="1:9" x14ac:dyDescent="0.2">
      <c r="A828" s="2">
        <v>1</v>
      </c>
      <c r="B828" s="1" t="s">
        <v>100</v>
      </c>
      <c r="C828" s="4">
        <v>393</v>
      </c>
      <c r="D828" s="8">
        <v>15.5</v>
      </c>
      <c r="E828" s="4">
        <v>209</v>
      </c>
      <c r="F828" s="8">
        <v>17.77</v>
      </c>
      <c r="G828" s="4">
        <v>184</v>
      </c>
      <c r="H828" s="8">
        <v>13.63</v>
      </c>
      <c r="I828" s="4">
        <v>0</v>
      </c>
    </row>
    <row r="829" spans="1:9" x14ac:dyDescent="0.2">
      <c r="A829" s="2">
        <v>2</v>
      </c>
      <c r="B829" s="1" t="s">
        <v>104</v>
      </c>
      <c r="C829" s="4">
        <v>221</v>
      </c>
      <c r="D829" s="8">
        <v>8.7200000000000006</v>
      </c>
      <c r="E829" s="4">
        <v>170</v>
      </c>
      <c r="F829" s="8">
        <v>14.46</v>
      </c>
      <c r="G829" s="4">
        <v>51</v>
      </c>
      <c r="H829" s="8">
        <v>3.78</v>
      </c>
      <c r="I829" s="4">
        <v>0</v>
      </c>
    </row>
    <row r="830" spans="1:9" x14ac:dyDescent="0.2">
      <c r="A830" s="2">
        <v>3</v>
      </c>
      <c r="B830" s="1" t="s">
        <v>103</v>
      </c>
      <c r="C830" s="4">
        <v>195</v>
      </c>
      <c r="D830" s="8">
        <v>7.69</v>
      </c>
      <c r="E830" s="4">
        <v>160</v>
      </c>
      <c r="F830" s="8">
        <v>13.61</v>
      </c>
      <c r="G830" s="4">
        <v>34</v>
      </c>
      <c r="H830" s="8">
        <v>2.52</v>
      </c>
      <c r="I830" s="4">
        <v>1</v>
      </c>
    </row>
    <row r="831" spans="1:9" x14ac:dyDescent="0.2">
      <c r="A831" s="2">
        <v>4</v>
      </c>
      <c r="B831" s="1" t="s">
        <v>105</v>
      </c>
      <c r="C831" s="4">
        <v>170</v>
      </c>
      <c r="D831" s="8">
        <v>6.71</v>
      </c>
      <c r="E831" s="4">
        <v>127</v>
      </c>
      <c r="F831" s="8">
        <v>10.8</v>
      </c>
      <c r="G831" s="4">
        <v>38</v>
      </c>
      <c r="H831" s="8">
        <v>2.81</v>
      </c>
      <c r="I831" s="4">
        <v>0</v>
      </c>
    </row>
    <row r="832" spans="1:9" x14ac:dyDescent="0.2">
      <c r="A832" s="2">
        <v>5</v>
      </c>
      <c r="B832" s="1" t="s">
        <v>106</v>
      </c>
      <c r="C832" s="4">
        <v>129</v>
      </c>
      <c r="D832" s="8">
        <v>5.09</v>
      </c>
      <c r="E832" s="4">
        <v>108</v>
      </c>
      <c r="F832" s="8">
        <v>9.18</v>
      </c>
      <c r="G832" s="4">
        <v>21</v>
      </c>
      <c r="H832" s="8">
        <v>1.56</v>
      </c>
      <c r="I832" s="4">
        <v>0</v>
      </c>
    </row>
    <row r="833" spans="1:9" x14ac:dyDescent="0.2">
      <c r="A833" s="2">
        <v>6</v>
      </c>
      <c r="B833" s="1" t="s">
        <v>101</v>
      </c>
      <c r="C833" s="4">
        <v>121</v>
      </c>
      <c r="D833" s="8">
        <v>4.7699999999999996</v>
      </c>
      <c r="E833" s="4">
        <v>65</v>
      </c>
      <c r="F833" s="8">
        <v>5.53</v>
      </c>
      <c r="G833" s="4">
        <v>56</v>
      </c>
      <c r="H833" s="8">
        <v>4.1500000000000004</v>
      </c>
      <c r="I833" s="4">
        <v>0</v>
      </c>
    </row>
    <row r="834" spans="1:9" x14ac:dyDescent="0.2">
      <c r="A834" s="2">
        <v>7</v>
      </c>
      <c r="B834" s="1" t="s">
        <v>89</v>
      </c>
      <c r="C834" s="4">
        <v>118</v>
      </c>
      <c r="D834" s="8">
        <v>4.6500000000000004</v>
      </c>
      <c r="E834" s="4">
        <v>30</v>
      </c>
      <c r="F834" s="8">
        <v>2.5499999999999998</v>
      </c>
      <c r="G834" s="4">
        <v>88</v>
      </c>
      <c r="H834" s="8">
        <v>6.52</v>
      </c>
      <c r="I834" s="4">
        <v>0</v>
      </c>
    </row>
    <row r="835" spans="1:9" x14ac:dyDescent="0.2">
      <c r="A835" s="2">
        <v>8</v>
      </c>
      <c r="B835" s="1" t="s">
        <v>88</v>
      </c>
      <c r="C835" s="4">
        <v>115</v>
      </c>
      <c r="D835" s="8">
        <v>4.54</v>
      </c>
      <c r="E835" s="4">
        <v>23</v>
      </c>
      <c r="F835" s="8">
        <v>1.96</v>
      </c>
      <c r="G835" s="4">
        <v>92</v>
      </c>
      <c r="H835" s="8">
        <v>6.81</v>
      </c>
      <c r="I835" s="4">
        <v>0</v>
      </c>
    </row>
    <row r="836" spans="1:9" x14ac:dyDescent="0.2">
      <c r="A836" s="2">
        <v>9</v>
      </c>
      <c r="B836" s="1" t="s">
        <v>98</v>
      </c>
      <c r="C836" s="4">
        <v>107</v>
      </c>
      <c r="D836" s="8">
        <v>4.22</v>
      </c>
      <c r="E836" s="4">
        <v>47</v>
      </c>
      <c r="F836" s="8">
        <v>4</v>
      </c>
      <c r="G836" s="4">
        <v>60</v>
      </c>
      <c r="H836" s="8">
        <v>4.4400000000000004</v>
      </c>
      <c r="I836" s="4">
        <v>0</v>
      </c>
    </row>
    <row r="837" spans="1:9" x14ac:dyDescent="0.2">
      <c r="A837" s="2">
        <v>10</v>
      </c>
      <c r="B837" s="1" t="s">
        <v>102</v>
      </c>
      <c r="C837" s="4">
        <v>86</v>
      </c>
      <c r="D837" s="8">
        <v>3.39</v>
      </c>
      <c r="E837" s="4">
        <v>26</v>
      </c>
      <c r="F837" s="8">
        <v>2.21</v>
      </c>
      <c r="G837" s="4">
        <v>60</v>
      </c>
      <c r="H837" s="8">
        <v>4.4400000000000004</v>
      </c>
      <c r="I837" s="4">
        <v>0</v>
      </c>
    </row>
    <row r="838" spans="1:9" x14ac:dyDescent="0.2">
      <c r="A838" s="2">
        <v>11</v>
      </c>
      <c r="B838" s="1" t="s">
        <v>90</v>
      </c>
      <c r="C838" s="4">
        <v>75</v>
      </c>
      <c r="D838" s="8">
        <v>2.96</v>
      </c>
      <c r="E838" s="4">
        <v>15</v>
      </c>
      <c r="F838" s="8">
        <v>1.28</v>
      </c>
      <c r="G838" s="4">
        <v>60</v>
      </c>
      <c r="H838" s="8">
        <v>4.4400000000000004</v>
      </c>
      <c r="I838" s="4">
        <v>0</v>
      </c>
    </row>
    <row r="839" spans="1:9" x14ac:dyDescent="0.2">
      <c r="A839" s="2">
        <v>12</v>
      </c>
      <c r="B839" s="1" t="s">
        <v>96</v>
      </c>
      <c r="C839" s="4">
        <v>74</v>
      </c>
      <c r="D839" s="8">
        <v>2.92</v>
      </c>
      <c r="E839" s="4">
        <v>35</v>
      </c>
      <c r="F839" s="8">
        <v>2.98</v>
      </c>
      <c r="G839" s="4">
        <v>38</v>
      </c>
      <c r="H839" s="8">
        <v>2.81</v>
      </c>
      <c r="I839" s="4">
        <v>1</v>
      </c>
    </row>
    <row r="840" spans="1:9" x14ac:dyDescent="0.2">
      <c r="A840" s="2">
        <v>13</v>
      </c>
      <c r="B840" s="1" t="s">
        <v>132</v>
      </c>
      <c r="C840" s="4">
        <v>45</v>
      </c>
      <c r="D840" s="8">
        <v>1.78</v>
      </c>
      <c r="E840" s="4">
        <v>0</v>
      </c>
      <c r="F840" s="8">
        <v>0</v>
      </c>
      <c r="G840" s="4">
        <v>44</v>
      </c>
      <c r="H840" s="8">
        <v>3.26</v>
      </c>
      <c r="I840" s="4">
        <v>0</v>
      </c>
    </row>
    <row r="841" spans="1:9" x14ac:dyDescent="0.2">
      <c r="A841" s="2">
        <v>14</v>
      </c>
      <c r="B841" s="1" t="s">
        <v>91</v>
      </c>
      <c r="C841" s="4">
        <v>43</v>
      </c>
      <c r="D841" s="8">
        <v>1.7</v>
      </c>
      <c r="E841" s="4">
        <v>0</v>
      </c>
      <c r="F841" s="8">
        <v>0</v>
      </c>
      <c r="G841" s="4">
        <v>43</v>
      </c>
      <c r="H841" s="8">
        <v>3.19</v>
      </c>
      <c r="I841" s="4">
        <v>0</v>
      </c>
    </row>
    <row r="842" spans="1:9" x14ac:dyDescent="0.2">
      <c r="A842" s="2">
        <v>15</v>
      </c>
      <c r="B842" s="1" t="s">
        <v>97</v>
      </c>
      <c r="C842" s="4">
        <v>40</v>
      </c>
      <c r="D842" s="8">
        <v>1.58</v>
      </c>
      <c r="E842" s="4">
        <v>20</v>
      </c>
      <c r="F842" s="8">
        <v>1.7</v>
      </c>
      <c r="G842" s="4">
        <v>20</v>
      </c>
      <c r="H842" s="8">
        <v>1.48</v>
      </c>
      <c r="I842" s="4">
        <v>0</v>
      </c>
    </row>
    <row r="843" spans="1:9" x14ac:dyDescent="0.2">
      <c r="A843" s="2">
        <v>16</v>
      </c>
      <c r="B843" s="1" t="s">
        <v>95</v>
      </c>
      <c r="C843" s="4">
        <v>39</v>
      </c>
      <c r="D843" s="8">
        <v>1.54</v>
      </c>
      <c r="E843" s="4">
        <v>18</v>
      </c>
      <c r="F843" s="8">
        <v>1.53</v>
      </c>
      <c r="G843" s="4">
        <v>21</v>
      </c>
      <c r="H843" s="8">
        <v>1.56</v>
      </c>
      <c r="I843" s="4">
        <v>0</v>
      </c>
    </row>
    <row r="844" spans="1:9" x14ac:dyDescent="0.2">
      <c r="A844" s="2">
        <v>17</v>
      </c>
      <c r="B844" s="1" t="s">
        <v>107</v>
      </c>
      <c r="C844" s="4">
        <v>37</v>
      </c>
      <c r="D844" s="8">
        <v>1.46</v>
      </c>
      <c r="E844" s="4">
        <v>1</v>
      </c>
      <c r="F844" s="8">
        <v>0.09</v>
      </c>
      <c r="G844" s="4">
        <v>36</v>
      </c>
      <c r="H844" s="8">
        <v>2.67</v>
      </c>
      <c r="I844" s="4">
        <v>0</v>
      </c>
    </row>
    <row r="845" spans="1:9" x14ac:dyDescent="0.2">
      <c r="A845" s="2">
        <v>18</v>
      </c>
      <c r="B845" s="1" t="s">
        <v>129</v>
      </c>
      <c r="C845" s="4">
        <v>36</v>
      </c>
      <c r="D845" s="8">
        <v>1.42</v>
      </c>
      <c r="E845" s="4">
        <v>10</v>
      </c>
      <c r="F845" s="8">
        <v>0.85</v>
      </c>
      <c r="G845" s="4">
        <v>26</v>
      </c>
      <c r="H845" s="8">
        <v>1.93</v>
      </c>
      <c r="I845" s="4">
        <v>0</v>
      </c>
    </row>
    <row r="846" spans="1:9" x14ac:dyDescent="0.2">
      <c r="A846" s="2">
        <v>19</v>
      </c>
      <c r="B846" s="1" t="s">
        <v>93</v>
      </c>
      <c r="C846" s="4">
        <v>35</v>
      </c>
      <c r="D846" s="8">
        <v>1.38</v>
      </c>
      <c r="E846" s="4">
        <v>5</v>
      </c>
      <c r="F846" s="8">
        <v>0.43</v>
      </c>
      <c r="G846" s="4">
        <v>30</v>
      </c>
      <c r="H846" s="8">
        <v>2.2200000000000002</v>
      </c>
      <c r="I846" s="4">
        <v>0</v>
      </c>
    </row>
    <row r="847" spans="1:9" x14ac:dyDescent="0.2">
      <c r="A847" s="2">
        <v>19</v>
      </c>
      <c r="B847" s="1" t="s">
        <v>99</v>
      </c>
      <c r="C847" s="4">
        <v>35</v>
      </c>
      <c r="D847" s="8">
        <v>1.38</v>
      </c>
      <c r="E847" s="4">
        <v>4</v>
      </c>
      <c r="F847" s="8">
        <v>0.34</v>
      </c>
      <c r="G847" s="4">
        <v>31</v>
      </c>
      <c r="H847" s="8">
        <v>2.2999999999999998</v>
      </c>
      <c r="I847" s="4">
        <v>0</v>
      </c>
    </row>
    <row r="848" spans="1:9" x14ac:dyDescent="0.2">
      <c r="A848" s="1"/>
      <c r="C848" s="4"/>
      <c r="D848" s="8"/>
      <c r="E848" s="4"/>
      <c r="F848" s="8"/>
      <c r="G848" s="4"/>
      <c r="H848" s="8"/>
      <c r="I848" s="4"/>
    </row>
    <row r="849" spans="1:9" x14ac:dyDescent="0.2">
      <c r="A849" s="1" t="s">
        <v>38</v>
      </c>
      <c r="C849" s="4"/>
      <c r="D849" s="8"/>
      <c r="E849" s="4"/>
      <c r="F849" s="8"/>
      <c r="G849" s="4"/>
      <c r="H849" s="8"/>
      <c r="I849" s="4"/>
    </row>
    <row r="850" spans="1:9" x14ac:dyDescent="0.2">
      <c r="A850" s="2">
        <v>1</v>
      </c>
      <c r="B850" s="1" t="s">
        <v>103</v>
      </c>
      <c r="C850" s="4">
        <v>248</v>
      </c>
      <c r="D850" s="8">
        <v>11.53</v>
      </c>
      <c r="E850" s="4">
        <v>207</v>
      </c>
      <c r="F850" s="8">
        <v>21.93</v>
      </c>
      <c r="G850" s="4">
        <v>41</v>
      </c>
      <c r="H850" s="8">
        <v>3.41</v>
      </c>
      <c r="I850" s="4">
        <v>0</v>
      </c>
    </row>
    <row r="851" spans="1:9" x14ac:dyDescent="0.2">
      <c r="A851" s="2">
        <v>2</v>
      </c>
      <c r="B851" s="1" t="s">
        <v>104</v>
      </c>
      <c r="C851" s="4">
        <v>220</v>
      </c>
      <c r="D851" s="8">
        <v>10.23</v>
      </c>
      <c r="E851" s="4">
        <v>169</v>
      </c>
      <c r="F851" s="8">
        <v>17.899999999999999</v>
      </c>
      <c r="G851" s="4">
        <v>51</v>
      </c>
      <c r="H851" s="8">
        <v>4.24</v>
      </c>
      <c r="I851" s="4">
        <v>0</v>
      </c>
    </row>
    <row r="852" spans="1:9" x14ac:dyDescent="0.2">
      <c r="A852" s="2">
        <v>3</v>
      </c>
      <c r="B852" s="1" t="s">
        <v>100</v>
      </c>
      <c r="C852" s="4">
        <v>177</v>
      </c>
      <c r="D852" s="8">
        <v>8.23</v>
      </c>
      <c r="E852" s="4">
        <v>39</v>
      </c>
      <c r="F852" s="8">
        <v>4.13</v>
      </c>
      <c r="G852" s="4">
        <v>138</v>
      </c>
      <c r="H852" s="8">
        <v>11.47</v>
      </c>
      <c r="I852" s="4">
        <v>0</v>
      </c>
    </row>
    <row r="853" spans="1:9" x14ac:dyDescent="0.2">
      <c r="A853" s="2">
        <v>4</v>
      </c>
      <c r="B853" s="1" t="s">
        <v>89</v>
      </c>
      <c r="C853" s="4">
        <v>152</v>
      </c>
      <c r="D853" s="8">
        <v>7.07</v>
      </c>
      <c r="E853" s="4">
        <v>33</v>
      </c>
      <c r="F853" s="8">
        <v>3.5</v>
      </c>
      <c r="G853" s="4">
        <v>119</v>
      </c>
      <c r="H853" s="8">
        <v>9.89</v>
      </c>
      <c r="I853" s="4">
        <v>0</v>
      </c>
    </row>
    <row r="854" spans="1:9" x14ac:dyDescent="0.2">
      <c r="A854" s="2">
        <v>5</v>
      </c>
      <c r="B854" s="1" t="s">
        <v>98</v>
      </c>
      <c r="C854" s="4">
        <v>118</v>
      </c>
      <c r="D854" s="8">
        <v>5.49</v>
      </c>
      <c r="E854" s="4">
        <v>54</v>
      </c>
      <c r="F854" s="8">
        <v>5.72</v>
      </c>
      <c r="G854" s="4">
        <v>63</v>
      </c>
      <c r="H854" s="8">
        <v>5.24</v>
      </c>
      <c r="I854" s="4">
        <v>0</v>
      </c>
    </row>
    <row r="855" spans="1:9" x14ac:dyDescent="0.2">
      <c r="A855" s="2">
        <v>6</v>
      </c>
      <c r="B855" s="1" t="s">
        <v>88</v>
      </c>
      <c r="C855" s="4">
        <v>107</v>
      </c>
      <c r="D855" s="8">
        <v>4.97</v>
      </c>
      <c r="E855" s="4">
        <v>8</v>
      </c>
      <c r="F855" s="8">
        <v>0.85</v>
      </c>
      <c r="G855" s="4">
        <v>99</v>
      </c>
      <c r="H855" s="8">
        <v>8.23</v>
      </c>
      <c r="I855" s="4">
        <v>0</v>
      </c>
    </row>
    <row r="856" spans="1:9" x14ac:dyDescent="0.2">
      <c r="A856" s="2">
        <v>7</v>
      </c>
      <c r="B856" s="1" t="s">
        <v>106</v>
      </c>
      <c r="C856" s="4">
        <v>95</v>
      </c>
      <c r="D856" s="8">
        <v>4.42</v>
      </c>
      <c r="E856" s="4">
        <v>84</v>
      </c>
      <c r="F856" s="8">
        <v>8.9</v>
      </c>
      <c r="G856" s="4">
        <v>11</v>
      </c>
      <c r="H856" s="8">
        <v>0.91</v>
      </c>
      <c r="I856" s="4">
        <v>0</v>
      </c>
    </row>
    <row r="857" spans="1:9" x14ac:dyDescent="0.2">
      <c r="A857" s="2">
        <v>8</v>
      </c>
      <c r="B857" s="1" t="s">
        <v>96</v>
      </c>
      <c r="C857" s="4">
        <v>93</v>
      </c>
      <c r="D857" s="8">
        <v>4.32</v>
      </c>
      <c r="E857" s="4">
        <v>67</v>
      </c>
      <c r="F857" s="8">
        <v>7.1</v>
      </c>
      <c r="G857" s="4">
        <v>26</v>
      </c>
      <c r="H857" s="8">
        <v>2.16</v>
      </c>
      <c r="I857" s="4">
        <v>0</v>
      </c>
    </row>
    <row r="858" spans="1:9" x14ac:dyDescent="0.2">
      <c r="A858" s="2">
        <v>9</v>
      </c>
      <c r="B858" s="1" t="s">
        <v>105</v>
      </c>
      <c r="C858" s="4">
        <v>91</v>
      </c>
      <c r="D858" s="8">
        <v>4.2300000000000004</v>
      </c>
      <c r="E858" s="4">
        <v>70</v>
      </c>
      <c r="F858" s="8">
        <v>7.42</v>
      </c>
      <c r="G858" s="4">
        <v>21</v>
      </c>
      <c r="H858" s="8">
        <v>1.75</v>
      </c>
      <c r="I858" s="4">
        <v>0</v>
      </c>
    </row>
    <row r="859" spans="1:9" x14ac:dyDescent="0.2">
      <c r="A859" s="2">
        <v>10</v>
      </c>
      <c r="B859" s="1" t="s">
        <v>90</v>
      </c>
      <c r="C859" s="4">
        <v>85</v>
      </c>
      <c r="D859" s="8">
        <v>3.95</v>
      </c>
      <c r="E859" s="4">
        <v>13</v>
      </c>
      <c r="F859" s="8">
        <v>1.38</v>
      </c>
      <c r="G859" s="4">
        <v>72</v>
      </c>
      <c r="H859" s="8">
        <v>5.99</v>
      </c>
      <c r="I859" s="4">
        <v>0</v>
      </c>
    </row>
    <row r="860" spans="1:9" x14ac:dyDescent="0.2">
      <c r="A860" s="2">
        <v>11</v>
      </c>
      <c r="B860" s="1" t="s">
        <v>101</v>
      </c>
      <c r="C860" s="4">
        <v>78</v>
      </c>
      <c r="D860" s="8">
        <v>3.63</v>
      </c>
      <c r="E860" s="4">
        <v>36</v>
      </c>
      <c r="F860" s="8">
        <v>3.81</v>
      </c>
      <c r="G860" s="4">
        <v>42</v>
      </c>
      <c r="H860" s="8">
        <v>3.49</v>
      </c>
      <c r="I860" s="4">
        <v>0</v>
      </c>
    </row>
    <row r="861" spans="1:9" x14ac:dyDescent="0.2">
      <c r="A861" s="2">
        <v>12</v>
      </c>
      <c r="B861" s="1" t="s">
        <v>102</v>
      </c>
      <c r="C861" s="4">
        <v>64</v>
      </c>
      <c r="D861" s="8">
        <v>2.98</v>
      </c>
      <c r="E861" s="4">
        <v>19</v>
      </c>
      <c r="F861" s="8">
        <v>2.0099999999999998</v>
      </c>
      <c r="G861" s="4">
        <v>45</v>
      </c>
      <c r="H861" s="8">
        <v>3.74</v>
      </c>
      <c r="I861" s="4">
        <v>0</v>
      </c>
    </row>
    <row r="862" spans="1:9" x14ac:dyDescent="0.2">
      <c r="A862" s="2">
        <v>13</v>
      </c>
      <c r="B862" s="1" t="s">
        <v>99</v>
      </c>
      <c r="C862" s="4">
        <v>49</v>
      </c>
      <c r="D862" s="8">
        <v>2.2799999999999998</v>
      </c>
      <c r="E862" s="4">
        <v>5</v>
      </c>
      <c r="F862" s="8">
        <v>0.53</v>
      </c>
      <c r="G862" s="4">
        <v>44</v>
      </c>
      <c r="H862" s="8">
        <v>3.66</v>
      </c>
      <c r="I862" s="4">
        <v>0</v>
      </c>
    </row>
    <row r="863" spans="1:9" x14ac:dyDescent="0.2">
      <c r="A863" s="2">
        <v>14</v>
      </c>
      <c r="B863" s="1" t="s">
        <v>97</v>
      </c>
      <c r="C863" s="4">
        <v>47</v>
      </c>
      <c r="D863" s="8">
        <v>2.19</v>
      </c>
      <c r="E863" s="4">
        <v>25</v>
      </c>
      <c r="F863" s="8">
        <v>2.65</v>
      </c>
      <c r="G863" s="4">
        <v>22</v>
      </c>
      <c r="H863" s="8">
        <v>1.83</v>
      </c>
      <c r="I863" s="4">
        <v>0</v>
      </c>
    </row>
    <row r="864" spans="1:9" x14ac:dyDescent="0.2">
      <c r="A864" s="2">
        <v>15</v>
      </c>
      <c r="B864" s="1" t="s">
        <v>132</v>
      </c>
      <c r="C864" s="4">
        <v>34</v>
      </c>
      <c r="D864" s="8">
        <v>1.58</v>
      </c>
      <c r="E864" s="4">
        <v>0</v>
      </c>
      <c r="F864" s="8">
        <v>0</v>
      </c>
      <c r="G864" s="4">
        <v>32</v>
      </c>
      <c r="H864" s="8">
        <v>2.66</v>
      </c>
      <c r="I864" s="4">
        <v>0</v>
      </c>
    </row>
    <row r="865" spans="1:9" x14ac:dyDescent="0.2">
      <c r="A865" s="2">
        <v>16</v>
      </c>
      <c r="B865" s="1" t="s">
        <v>115</v>
      </c>
      <c r="C865" s="4">
        <v>33</v>
      </c>
      <c r="D865" s="8">
        <v>1.53</v>
      </c>
      <c r="E865" s="4">
        <v>14</v>
      </c>
      <c r="F865" s="8">
        <v>1.48</v>
      </c>
      <c r="G865" s="4">
        <v>19</v>
      </c>
      <c r="H865" s="8">
        <v>1.58</v>
      </c>
      <c r="I865" s="4">
        <v>0</v>
      </c>
    </row>
    <row r="866" spans="1:9" x14ac:dyDescent="0.2">
      <c r="A866" s="2">
        <v>17</v>
      </c>
      <c r="B866" s="1" t="s">
        <v>107</v>
      </c>
      <c r="C866" s="4">
        <v>32</v>
      </c>
      <c r="D866" s="8">
        <v>1.49</v>
      </c>
      <c r="E866" s="4">
        <v>3</v>
      </c>
      <c r="F866" s="8">
        <v>0.32</v>
      </c>
      <c r="G866" s="4">
        <v>29</v>
      </c>
      <c r="H866" s="8">
        <v>2.41</v>
      </c>
      <c r="I866" s="4">
        <v>0</v>
      </c>
    </row>
    <row r="867" spans="1:9" x14ac:dyDescent="0.2">
      <c r="A867" s="2">
        <v>18</v>
      </c>
      <c r="B867" s="1" t="s">
        <v>95</v>
      </c>
      <c r="C867" s="4">
        <v>28</v>
      </c>
      <c r="D867" s="8">
        <v>1.3</v>
      </c>
      <c r="E867" s="4">
        <v>19</v>
      </c>
      <c r="F867" s="8">
        <v>2.0099999999999998</v>
      </c>
      <c r="G867" s="4">
        <v>9</v>
      </c>
      <c r="H867" s="8">
        <v>0.75</v>
      </c>
      <c r="I867" s="4">
        <v>0</v>
      </c>
    </row>
    <row r="868" spans="1:9" x14ac:dyDescent="0.2">
      <c r="A868" s="2">
        <v>19</v>
      </c>
      <c r="B868" s="1" t="s">
        <v>93</v>
      </c>
      <c r="C868" s="4">
        <v>24</v>
      </c>
      <c r="D868" s="8">
        <v>1.1200000000000001</v>
      </c>
      <c r="E868" s="4">
        <v>3</v>
      </c>
      <c r="F868" s="8">
        <v>0.32</v>
      </c>
      <c r="G868" s="4">
        <v>21</v>
      </c>
      <c r="H868" s="8">
        <v>1.75</v>
      </c>
      <c r="I868" s="4">
        <v>0</v>
      </c>
    </row>
    <row r="869" spans="1:9" x14ac:dyDescent="0.2">
      <c r="A869" s="2">
        <v>20</v>
      </c>
      <c r="B869" s="1" t="s">
        <v>94</v>
      </c>
      <c r="C869" s="4">
        <v>22</v>
      </c>
      <c r="D869" s="8">
        <v>1.02</v>
      </c>
      <c r="E869" s="4">
        <v>4</v>
      </c>
      <c r="F869" s="8">
        <v>0.42</v>
      </c>
      <c r="G869" s="4">
        <v>18</v>
      </c>
      <c r="H869" s="8">
        <v>1.5</v>
      </c>
      <c r="I869" s="4">
        <v>0</v>
      </c>
    </row>
    <row r="870" spans="1:9" x14ac:dyDescent="0.2">
      <c r="A870" s="1"/>
      <c r="C870" s="4"/>
      <c r="D870" s="8"/>
      <c r="E870" s="4"/>
      <c r="F870" s="8"/>
      <c r="G870" s="4"/>
      <c r="H870" s="8"/>
      <c r="I870" s="4"/>
    </row>
    <row r="871" spans="1:9" x14ac:dyDescent="0.2">
      <c r="A871" s="1" t="s">
        <v>39</v>
      </c>
      <c r="C871" s="4"/>
      <c r="D871" s="8"/>
      <c r="E871" s="4"/>
      <c r="F871" s="8"/>
      <c r="G871" s="4"/>
      <c r="H871" s="8"/>
      <c r="I871" s="4"/>
    </row>
    <row r="872" spans="1:9" x14ac:dyDescent="0.2">
      <c r="A872" s="2">
        <v>1</v>
      </c>
      <c r="B872" s="1" t="s">
        <v>100</v>
      </c>
      <c r="C872" s="4">
        <v>231</v>
      </c>
      <c r="D872" s="8">
        <v>12.04</v>
      </c>
      <c r="E872" s="4">
        <v>25</v>
      </c>
      <c r="F872" s="8">
        <v>3.53</v>
      </c>
      <c r="G872" s="4">
        <v>206</v>
      </c>
      <c r="H872" s="8">
        <v>17.170000000000002</v>
      </c>
      <c r="I872" s="4">
        <v>0</v>
      </c>
    </row>
    <row r="873" spans="1:9" x14ac:dyDescent="0.2">
      <c r="A873" s="2">
        <v>2</v>
      </c>
      <c r="B873" s="1" t="s">
        <v>103</v>
      </c>
      <c r="C873" s="4">
        <v>214</v>
      </c>
      <c r="D873" s="8">
        <v>11.16</v>
      </c>
      <c r="E873" s="4">
        <v>162</v>
      </c>
      <c r="F873" s="8">
        <v>22.85</v>
      </c>
      <c r="G873" s="4">
        <v>52</v>
      </c>
      <c r="H873" s="8">
        <v>4.33</v>
      </c>
      <c r="I873" s="4">
        <v>0</v>
      </c>
    </row>
    <row r="874" spans="1:9" x14ac:dyDescent="0.2">
      <c r="A874" s="2">
        <v>3</v>
      </c>
      <c r="B874" s="1" t="s">
        <v>104</v>
      </c>
      <c r="C874" s="4">
        <v>164</v>
      </c>
      <c r="D874" s="8">
        <v>8.5500000000000007</v>
      </c>
      <c r="E874" s="4">
        <v>111</v>
      </c>
      <c r="F874" s="8">
        <v>15.66</v>
      </c>
      <c r="G874" s="4">
        <v>53</v>
      </c>
      <c r="H874" s="8">
        <v>4.42</v>
      </c>
      <c r="I874" s="4">
        <v>0</v>
      </c>
    </row>
    <row r="875" spans="1:9" x14ac:dyDescent="0.2">
      <c r="A875" s="2">
        <v>4</v>
      </c>
      <c r="B875" s="1" t="s">
        <v>105</v>
      </c>
      <c r="C875" s="4">
        <v>120</v>
      </c>
      <c r="D875" s="8">
        <v>6.26</v>
      </c>
      <c r="E875" s="4">
        <v>80</v>
      </c>
      <c r="F875" s="8">
        <v>11.28</v>
      </c>
      <c r="G875" s="4">
        <v>35</v>
      </c>
      <c r="H875" s="8">
        <v>2.92</v>
      </c>
      <c r="I875" s="4">
        <v>1</v>
      </c>
    </row>
    <row r="876" spans="1:9" x14ac:dyDescent="0.2">
      <c r="A876" s="2">
        <v>5</v>
      </c>
      <c r="B876" s="1" t="s">
        <v>106</v>
      </c>
      <c r="C876" s="4">
        <v>111</v>
      </c>
      <c r="D876" s="8">
        <v>5.79</v>
      </c>
      <c r="E876" s="4">
        <v>90</v>
      </c>
      <c r="F876" s="8">
        <v>12.69</v>
      </c>
      <c r="G876" s="4">
        <v>21</v>
      </c>
      <c r="H876" s="8">
        <v>1.75</v>
      </c>
      <c r="I876" s="4">
        <v>0</v>
      </c>
    </row>
    <row r="877" spans="1:9" x14ac:dyDescent="0.2">
      <c r="A877" s="2">
        <v>6</v>
      </c>
      <c r="B877" s="1" t="s">
        <v>98</v>
      </c>
      <c r="C877" s="4">
        <v>104</v>
      </c>
      <c r="D877" s="8">
        <v>5.42</v>
      </c>
      <c r="E877" s="4">
        <v>45</v>
      </c>
      <c r="F877" s="8">
        <v>6.35</v>
      </c>
      <c r="G877" s="4">
        <v>59</v>
      </c>
      <c r="H877" s="8">
        <v>4.92</v>
      </c>
      <c r="I877" s="4">
        <v>0</v>
      </c>
    </row>
    <row r="878" spans="1:9" x14ac:dyDescent="0.2">
      <c r="A878" s="2">
        <v>7</v>
      </c>
      <c r="B878" s="1" t="s">
        <v>101</v>
      </c>
      <c r="C878" s="4">
        <v>102</v>
      </c>
      <c r="D878" s="8">
        <v>5.32</v>
      </c>
      <c r="E878" s="4">
        <v>45</v>
      </c>
      <c r="F878" s="8">
        <v>6.35</v>
      </c>
      <c r="G878" s="4">
        <v>57</v>
      </c>
      <c r="H878" s="8">
        <v>4.75</v>
      </c>
      <c r="I878" s="4">
        <v>0</v>
      </c>
    </row>
    <row r="879" spans="1:9" x14ac:dyDescent="0.2">
      <c r="A879" s="2">
        <v>8</v>
      </c>
      <c r="B879" s="1" t="s">
        <v>88</v>
      </c>
      <c r="C879" s="4">
        <v>78</v>
      </c>
      <c r="D879" s="8">
        <v>4.07</v>
      </c>
      <c r="E879" s="4">
        <v>11</v>
      </c>
      <c r="F879" s="8">
        <v>1.55</v>
      </c>
      <c r="G879" s="4">
        <v>67</v>
      </c>
      <c r="H879" s="8">
        <v>5.58</v>
      </c>
      <c r="I879" s="4">
        <v>0</v>
      </c>
    </row>
    <row r="880" spans="1:9" x14ac:dyDescent="0.2">
      <c r="A880" s="2">
        <v>9</v>
      </c>
      <c r="B880" s="1" t="s">
        <v>96</v>
      </c>
      <c r="C880" s="4">
        <v>60</v>
      </c>
      <c r="D880" s="8">
        <v>3.13</v>
      </c>
      <c r="E880" s="4">
        <v>28</v>
      </c>
      <c r="F880" s="8">
        <v>3.95</v>
      </c>
      <c r="G880" s="4">
        <v>32</v>
      </c>
      <c r="H880" s="8">
        <v>2.67</v>
      </c>
      <c r="I880" s="4">
        <v>0</v>
      </c>
    </row>
    <row r="881" spans="1:9" x14ac:dyDescent="0.2">
      <c r="A881" s="2">
        <v>10</v>
      </c>
      <c r="B881" s="1" t="s">
        <v>102</v>
      </c>
      <c r="C881" s="4">
        <v>58</v>
      </c>
      <c r="D881" s="8">
        <v>3.02</v>
      </c>
      <c r="E881" s="4">
        <v>16</v>
      </c>
      <c r="F881" s="8">
        <v>2.2599999999999998</v>
      </c>
      <c r="G881" s="4">
        <v>42</v>
      </c>
      <c r="H881" s="8">
        <v>3.5</v>
      </c>
      <c r="I881" s="4">
        <v>0</v>
      </c>
    </row>
    <row r="882" spans="1:9" x14ac:dyDescent="0.2">
      <c r="A882" s="2">
        <v>11</v>
      </c>
      <c r="B882" s="1" t="s">
        <v>95</v>
      </c>
      <c r="C882" s="4">
        <v>57</v>
      </c>
      <c r="D882" s="8">
        <v>2.97</v>
      </c>
      <c r="E882" s="4">
        <v>12</v>
      </c>
      <c r="F882" s="8">
        <v>1.69</v>
      </c>
      <c r="G882" s="4">
        <v>45</v>
      </c>
      <c r="H882" s="8">
        <v>3.75</v>
      </c>
      <c r="I882" s="4">
        <v>0</v>
      </c>
    </row>
    <row r="883" spans="1:9" x14ac:dyDescent="0.2">
      <c r="A883" s="2">
        <v>12</v>
      </c>
      <c r="B883" s="1" t="s">
        <v>89</v>
      </c>
      <c r="C883" s="4">
        <v>55</v>
      </c>
      <c r="D883" s="8">
        <v>2.87</v>
      </c>
      <c r="E883" s="4">
        <v>16</v>
      </c>
      <c r="F883" s="8">
        <v>2.2599999999999998</v>
      </c>
      <c r="G883" s="4">
        <v>39</v>
      </c>
      <c r="H883" s="8">
        <v>3.25</v>
      </c>
      <c r="I883" s="4">
        <v>0</v>
      </c>
    </row>
    <row r="884" spans="1:9" x14ac:dyDescent="0.2">
      <c r="A884" s="2">
        <v>12</v>
      </c>
      <c r="B884" s="1" t="s">
        <v>99</v>
      </c>
      <c r="C884" s="4">
        <v>55</v>
      </c>
      <c r="D884" s="8">
        <v>2.87</v>
      </c>
      <c r="E884" s="4">
        <v>0</v>
      </c>
      <c r="F884" s="8">
        <v>0</v>
      </c>
      <c r="G884" s="4">
        <v>55</v>
      </c>
      <c r="H884" s="8">
        <v>4.58</v>
      </c>
      <c r="I884" s="4">
        <v>0</v>
      </c>
    </row>
    <row r="885" spans="1:9" x14ac:dyDescent="0.2">
      <c r="A885" s="2">
        <v>14</v>
      </c>
      <c r="B885" s="1" t="s">
        <v>90</v>
      </c>
      <c r="C885" s="4">
        <v>45</v>
      </c>
      <c r="D885" s="8">
        <v>2.35</v>
      </c>
      <c r="E885" s="4">
        <v>5</v>
      </c>
      <c r="F885" s="8">
        <v>0.71</v>
      </c>
      <c r="G885" s="4">
        <v>40</v>
      </c>
      <c r="H885" s="8">
        <v>3.33</v>
      </c>
      <c r="I885" s="4">
        <v>0</v>
      </c>
    </row>
    <row r="886" spans="1:9" x14ac:dyDescent="0.2">
      <c r="A886" s="2">
        <v>15</v>
      </c>
      <c r="B886" s="1" t="s">
        <v>97</v>
      </c>
      <c r="C886" s="4">
        <v>40</v>
      </c>
      <c r="D886" s="8">
        <v>2.09</v>
      </c>
      <c r="E886" s="4">
        <v>11</v>
      </c>
      <c r="F886" s="8">
        <v>1.55</v>
      </c>
      <c r="G886" s="4">
        <v>29</v>
      </c>
      <c r="H886" s="8">
        <v>2.42</v>
      </c>
      <c r="I886" s="4">
        <v>0</v>
      </c>
    </row>
    <row r="887" spans="1:9" x14ac:dyDescent="0.2">
      <c r="A887" s="2">
        <v>16</v>
      </c>
      <c r="B887" s="1" t="s">
        <v>132</v>
      </c>
      <c r="C887" s="4">
        <v>33</v>
      </c>
      <c r="D887" s="8">
        <v>1.72</v>
      </c>
      <c r="E887" s="4">
        <v>0</v>
      </c>
      <c r="F887" s="8">
        <v>0</v>
      </c>
      <c r="G887" s="4">
        <v>31</v>
      </c>
      <c r="H887" s="8">
        <v>2.58</v>
      </c>
      <c r="I887" s="4">
        <v>0</v>
      </c>
    </row>
    <row r="888" spans="1:9" x14ac:dyDescent="0.2">
      <c r="A888" s="2">
        <v>17</v>
      </c>
      <c r="B888" s="1" t="s">
        <v>91</v>
      </c>
      <c r="C888" s="4">
        <v>31</v>
      </c>
      <c r="D888" s="8">
        <v>1.62</v>
      </c>
      <c r="E888" s="4">
        <v>1</v>
      </c>
      <c r="F888" s="8">
        <v>0.14000000000000001</v>
      </c>
      <c r="G888" s="4">
        <v>30</v>
      </c>
      <c r="H888" s="8">
        <v>2.5</v>
      </c>
      <c r="I888" s="4">
        <v>0</v>
      </c>
    </row>
    <row r="889" spans="1:9" x14ac:dyDescent="0.2">
      <c r="A889" s="2">
        <v>18</v>
      </c>
      <c r="B889" s="1" t="s">
        <v>94</v>
      </c>
      <c r="C889" s="4">
        <v>28</v>
      </c>
      <c r="D889" s="8">
        <v>1.46</v>
      </c>
      <c r="E889" s="4">
        <v>5</v>
      </c>
      <c r="F889" s="8">
        <v>0.71</v>
      </c>
      <c r="G889" s="4">
        <v>23</v>
      </c>
      <c r="H889" s="8">
        <v>1.92</v>
      </c>
      <c r="I889" s="4">
        <v>0</v>
      </c>
    </row>
    <row r="890" spans="1:9" x14ac:dyDescent="0.2">
      <c r="A890" s="2">
        <v>19</v>
      </c>
      <c r="B890" s="1" t="s">
        <v>107</v>
      </c>
      <c r="C890" s="4">
        <v>25</v>
      </c>
      <c r="D890" s="8">
        <v>1.3</v>
      </c>
      <c r="E890" s="4">
        <v>3</v>
      </c>
      <c r="F890" s="8">
        <v>0.42</v>
      </c>
      <c r="G890" s="4">
        <v>22</v>
      </c>
      <c r="H890" s="8">
        <v>1.83</v>
      </c>
      <c r="I890" s="4">
        <v>0</v>
      </c>
    </row>
    <row r="891" spans="1:9" x14ac:dyDescent="0.2">
      <c r="A891" s="2">
        <v>20</v>
      </c>
      <c r="B891" s="1" t="s">
        <v>93</v>
      </c>
      <c r="C891" s="4">
        <v>24</v>
      </c>
      <c r="D891" s="8">
        <v>1.25</v>
      </c>
      <c r="E891" s="4">
        <v>0</v>
      </c>
      <c r="F891" s="8">
        <v>0</v>
      </c>
      <c r="G891" s="4">
        <v>24</v>
      </c>
      <c r="H891" s="8">
        <v>2</v>
      </c>
      <c r="I891" s="4">
        <v>0</v>
      </c>
    </row>
    <row r="892" spans="1:9" x14ac:dyDescent="0.2">
      <c r="A892" s="2">
        <v>20</v>
      </c>
      <c r="B892" s="1" t="s">
        <v>115</v>
      </c>
      <c r="C892" s="4">
        <v>24</v>
      </c>
      <c r="D892" s="8">
        <v>1.25</v>
      </c>
      <c r="E892" s="4">
        <v>4</v>
      </c>
      <c r="F892" s="8">
        <v>0.56000000000000005</v>
      </c>
      <c r="G892" s="4">
        <v>19</v>
      </c>
      <c r="H892" s="8">
        <v>1.58</v>
      </c>
      <c r="I892" s="4">
        <v>1</v>
      </c>
    </row>
    <row r="893" spans="1:9" x14ac:dyDescent="0.2">
      <c r="A893" s="2">
        <v>20</v>
      </c>
      <c r="B893" s="1" t="s">
        <v>114</v>
      </c>
      <c r="C893" s="4">
        <v>24</v>
      </c>
      <c r="D893" s="8">
        <v>1.25</v>
      </c>
      <c r="E893" s="4">
        <v>10</v>
      </c>
      <c r="F893" s="8">
        <v>1.41</v>
      </c>
      <c r="G893" s="4">
        <v>13</v>
      </c>
      <c r="H893" s="8">
        <v>1.08</v>
      </c>
      <c r="I893" s="4">
        <v>1</v>
      </c>
    </row>
    <row r="894" spans="1:9" x14ac:dyDescent="0.2">
      <c r="A894" s="1"/>
      <c r="C894" s="4"/>
      <c r="D894" s="8"/>
      <c r="E894" s="4"/>
      <c r="F894" s="8"/>
      <c r="G894" s="4"/>
      <c r="H894" s="8"/>
      <c r="I894" s="4"/>
    </row>
    <row r="895" spans="1:9" x14ac:dyDescent="0.2">
      <c r="A895" s="1" t="s">
        <v>40</v>
      </c>
      <c r="C895" s="4"/>
      <c r="D895" s="8"/>
      <c r="E895" s="4"/>
      <c r="F895" s="8"/>
      <c r="G895" s="4"/>
      <c r="H895" s="8"/>
      <c r="I895" s="4"/>
    </row>
    <row r="896" spans="1:9" x14ac:dyDescent="0.2">
      <c r="A896" s="2">
        <v>1</v>
      </c>
      <c r="B896" s="1" t="s">
        <v>100</v>
      </c>
      <c r="C896" s="4">
        <v>222</v>
      </c>
      <c r="D896" s="8">
        <v>14.43</v>
      </c>
      <c r="E896" s="4">
        <v>54</v>
      </c>
      <c r="F896" s="8">
        <v>8.26</v>
      </c>
      <c r="G896" s="4">
        <v>168</v>
      </c>
      <c r="H896" s="8">
        <v>19.09</v>
      </c>
      <c r="I896" s="4">
        <v>0</v>
      </c>
    </row>
    <row r="897" spans="1:9" x14ac:dyDescent="0.2">
      <c r="A897" s="2">
        <v>2</v>
      </c>
      <c r="B897" s="1" t="s">
        <v>103</v>
      </c>
      <c r="C897" s="4">
        <v>168</v>
      </c>
      <c r="D897" s="8">
        <v>10.92</v>
      </c>
      <c r="E897" s="4">
        <v>131</v>
      </c>
      <c r="F897" s="8">
        <v>20.03</v>
      </c>
      <c r="G897" s="4">
        <v>37</v>
      </c>
      <c r="H897" s="8">
        <v>4.2</v>
      </c>
      <c r="I897" s="4">
        <v>0</v>
      </c>
    </row>
    <row r="898" spans="1:9" x14ac:dyDescent="0.2">
      <c r="A898" s="2">
        <v>3</v>
      </c>
      <c r="B898" s="1" t="s">
        <v>104</v>
      </c>
      <c r="C898" s="4">
        <v>151</v>
      </c>
      <c r="D898" s="8">
        <v>9.82</v>
      </c>
      <c r="E898" s="4">
        <v>110</v>
      </c>
      <c r="F898" s="8">
        <v>16.82</v>
      </c>
      <c r="G898" s="4">
        <v>41</v>
      </c>
      <c r="H898" s="8">
        <v>4.66</v>
      </c>
      <c r="I898" s="4">
        <v>0</v>
      </c>
    </row>
    <row r="899" spans="1:9" x14ac:dyDescent="0.2">
      <c r="A899" s="2">
        <v>4</v>
      </c>
      <c r="B899" s="1" t="s">
        <v>98</v>
      </c>
      <c r="C899" s="4">
        <v>103</v>
      </c>
      <c r="D899" s="8">
        <v>6.7</v>
      </c>
      <c r="E899" s="4">
        <v>57</v>
      </c>
      <c r="F899" s="8">
        <v>8.7200000000000006</v>
      </c>
      <c r="G899" s="4">
        <v>46</v>
      </c>
      <c r="H899" s="8">
        <v>5.23</v>
      </c>
      <c r="I899" s="4">
        <v>0</v>
      </c>
    </row>
    <row r="900" spans="1:9" x14ac:dyDescent="0.2">
      <c r="A900" s="2">
        <v>5</v>
      </c>
      <c r="B900" s="1" t="s">
        <v>106</v>
      </c>
      <c r="C900" s="4">
        <v>100</v>
      </c>
      <c r="D900" s="8">
        <v>6.5</v>
      </c>
      <c r="E900" s="4">
        <v>88</v>
      </c>
      <c r="F900" s="8">
        <v>13.46</v>
      </c>
      <c r="G900" s="4">
        <v>12</v>
      </c>
      <c r="H900" s="8">
        <v>1.36</v>
      </c>
      <c r="I900" s="4">
        <v>0</v>
      </c>
    </row>
    <row r="901" spans="1:9" x14ac:dyDescent="0.2">
      <c r="A901" s="2">
        <v>6</v>
      </c>
      <c r="B901" s="1" t="s">
        <v>105</v>
      </c>
      <c r="C901" s="4">
        <v>82</v>
      </c>
      <c r="D901" s="8">
        <v>5.33</v>
      </c>
      <c r="E901" s="4">
        <v>48</v>
      </c>
      <c r="F901" s="8">
        <v>7.34</v>
      </c>
      <c r="G901" s="4">
        <v>33</v>
      </c>
      <c r="H901" s="8">
        <v>3.75</v>
      </c>
      <c r="I901" s="4">
        <v>0</v>
      </c>
    </row>
    <row r="902" spans="1:9" x14ac:dyDescent="0.2">
      <c r="A902" s="2">
        <v>7</v>
      </c>
      <c r="B902" s="1" t="s">
        <v>101</v>
      </c>
      <c r="C902" s="4">
        <v>79</v>
      </c>
      <c r="D902" s="8">
        <v>5.14</v>
      </c>
      <c r="E902" s="4">
        <v>33</v>
      </c>
      <c r="F902" s="8">
        <v>5.05</v>
      </c>
      <c r="G902" s="4">
        <v>46</v>
      </c>
      <c r="H902" s="8">
        <v>5.23</v>
      </c>
      <c r="I902" s="4">
        <v>0</v>
      </c>
    </row>
    <row r="903" spans="1:9" x14ac:dyDescent="0.2">
      <c r="A903" s="2">
        <v>8</v>
      </c>
      <c r="B903" s="1" t="s">
        <v>88</v>
      </c>
      <c r="C903" s="4">
        <v>52</v>
      </c>
      <c r="D903" s="8">
        <v>3.38</v>
      </c>
      <c r="E903" s="4">
        <v>7</v>
      </c>
      <c r="F903" s="8">
        <v>1.07</v>
      </c>
      <c r="G903" s="4">
        <v>45</v>
      </c>
      <c r="H903" s="8">
        <v>5.1100000000000003</v>
      </c>
      <c r="I903" s="4">
        <v>0</v>
      </c>
    </row>
    <row r="904" spans="1:9" x14ac:dyDescent="0.2">
      <c r="A904" s="2">
        <v>9</v>
      </c>
      <c r="B904" s="1" t="s">
        <v>96</v>
      </c>
      <c r="C904" s="4">
        <v>50</v>
      </c>
      <c r="D904" s="8">
        <v>3.25</v>
      </c>
      <c r="E904" s="4">
        <v>27</v>
      </c>
      <c r="F904" s="8">
        <v>4.13</v>
      </c>
      <c r="G904" s="4">
        <v>23</v>
      </c>
      <c r="H904" s="8">
        <v>2.61</v>
      </c>
      <c r="I904" s="4">
        <v>0</v>
      </c>
    </row>
    <row r="905" spans="1:9" x14ac:dyDescent="0.2">
      <c r="A905" s="2">
        <v>10</v>
      </c>
      <c r="B905" s="1" t="s">
        <v>95</v>
      </c>
      <c r="C905" s="4">
        <v>49</v>
      </c>
      <c r="D905" s="8">
        <v>3.19</v>
      </c>
      <c r="E905" s="4">
        <v>29</v>
      </c>
      <c r="F905" s="8">
        <v>4.43</v>
      </c>
      <c r="G905" s="4">
        <v>20</v>
      </c>
      <c r="H905" s="8">
        <v>2.27</v>
      </c>
      <c r="I905" s="4">
        <v>0</v>
      </c>
    </row>
    <row r="906" spans="1:9" x14ac:dyDescent="0.2">
      <c r="A906" s="2">
        <v>11</v>
      </c>
      <c r="B906" s="1" t="s">
        <v>90</v>
      </c>
      <c r="C906" s="4">
        <v>42</v>
      </c>
      <c r="D906" s="8">
        <v>2.73</v>
      </c>
      <c r="E906" s="4">
        <v>2</v>
      </c>
      <c r="F906" s="8">
        <v>0.31</v>
      </c>
      <c r="G906" s="4">
        <v>40</v>
      </c>
      <c r="H906" s="8">
        <v>4.55</v>
      </c>
      <c r="I906" s="4">
        <v>0</v>
      </c>
    </row>
    <row r="907" spans="1:9" x14ac:dyDescent="0.2">
      <c r="A907" s="2">
        <v>12</v>
      </c>
      <c r="B907" s="1" t="s">
        <v>102</v>
      </c>
      <c r="C907" s="4">
        <v>41</v>
      </c>
      <c r="D907" s="8">
        <v>2.67</v>
      </c>
      <c r="E907" s="4">
        <v>12</v>
      </c>
      <c r="F907" s="8">
        <v>1.83</v>
      </c>
      <c r="G907" s="4">
        <v>29</v>
      </c>
      <c r="H907" s="8">
        <v>3.3</v>
      </c>
      <c r="I907" s="4">
        <v>0</v>
      </c>
    </row>
    <row r="908" spans="1:9" x14ac:dyDescent="0.2">
      <c r="A908" s="2">
        <v>13</v>
      </c>
      <c r="B908" s="1" t="s">
        <v>89</v>
      </c>
      <c r="C908" s="4">
        <v>38</v>
      </c>
      <c r="D908" s="8">
        <v>2.4700000000000002</v>
      </c>
      <c r="E908" s="4">
        <v>6</v>
      </c>
      <c r="F908" s="8">
        <v>0.92</v>
      </c>
      <c r="G908" s="4">
        <v>32</v>
      </c>
      <c r="H908" s="8">
        <v>3.64</v>
      </c>
      <c r="I908" s="4">
        <v>0</v>
      </c>
    </row>
    <row r="909" spans="1:9" x14ac:dyDescent="0.2">
      <c r="A909" s="2">
        <v>14</v>
      </c>
      <c r="B909" s="1" t="s">
        <v>99</v>
      </c>
      <c r="C909" s="4">
        <v>33</v>
      </c>
      <c r="D909" s="8">
        <v>2.15</v>
      </c>
      <c r="E909" s="4">
        <v>5</v>
      </c>
      <c r="F909" s="8">
        <v>0.76</v>
      </c>
      <c r="G909" s="4">
        <v>28</v>
      </c>
      <c r="H909" s="8">
        <v>3.18</v>
      </c>
      <c r="I909" s="4">
        <v>0</v>
      </c>
    </row>
    <row r="910" spans="1:9" x14ac:dyDescent="0.2">
      <c r="A910" s="2">
        <v>15</v>
      </c>
      <c r="B910" s="1" t="s">
        <v>107</v>
      </c>
      <c r="C910" s="4">
        <v>31</v>
      </c>
      <c r="D910" s="8">
        <v>2.02</v>
      </c>
      <c r="E910" s="4">
        <v>4</v>
      </c>
      <c r="F910" s="8">
        <v>0.61</v>
      </c>
      <c r="G910" s="4">
        <v>27</v>
      </c>
      <c r="H910" s="8">
        <v>3.07</v>
      </c>
      <c r="I910" s="4">
        <v>0</v>
      </c>
    </row>
    <row r="911" spans="1:9" x14ac:dyDescent="0.2">
      <c r="A911" s="2">
        <v>16</v>
      </c>
      <c r="B911" s="1" t="s">
        <v>132</v>
      </c>
      <c r="C911" s="4">
        <v>24</v>
      </c>
      <c r="D911" s="8">
        <v>1.56</v>
      </c>
      <c r="E911" s="4">
        <v>0</v>
      </c>
      <c r="F911" s="8">
        <v>0</v>
      </c>
      <c r="G911" s="4">
        <v>24</v>
      </c>
      <c r="H911" s="8">
        <v>2.73</v>
      </c>
      <c r="I911" s="4">
        <v>0</v>
      </c>
    </row>
    <row r="912" spans="1:9" x14ac:dyDescent="0.2">
      <c r="A912" s="2">
        <v>17</v>
      </c>
      <c r="B912" s="1" t="s">
        <v>91</v>
      </c>
      <c r="C912" s="4">
        <v>22</v>
      </c>
      <c r="D912" s="8">
        <v>1.43</v>
      </c>
      <c r="E912" s="4">
        <v>0</v>
      </c>
      <c r="F912" s="8">
        <v>0</v>
      </c>
      <c r="G912" s="4">
        <v>22</v>
      </c>
      <c r="H912" s="8">
        <v>2.5</v>
      </c>
      <c r="I912" s="4">
        <v>0</v>
      </c>
    </row>
    <row r="913" spans="1:9" x14ac:dyDescent="0.2">
      <c r="A913" s="2">
        <v>17</v>
      </c>
      <c r="B913" s="1" t="s">
        <v>97</v>
      </c>
      <c r="C913" s="4">
        <v>22</v>
      </c>
      <c r="D913" s="8">
        <v>1.43</v>
      </c>
      <c r="E913" s="4">
        <v>4</v>
      </c>
      <c r="F913" s="8">
        <v>0.61</v>
      </c>
      <c r="G913" s="4">
        <v>18</v>
      </c>
      <c r="H913" s="8">
        <v>2.0499999999999998</v>
      </c>
      <c r="I913" s="4">
        <v>0</v>
      </c>
    </row>
    <row r="914" spans="1:9" x14ac:dyDescent="0.2">
      <c r="A914" s="2">
        <v>19</v>
      </c>
      <c r="B914" s="1" t="s">
        <v>93</v>
      </c>
      <c r="C914" s="4">
        <v>20</v>
      </c>
      <c r="D914" s="8">
        <v>1.3</v>
      </c>
      <c r="E914" s="4">
        <v>2</v>
      </c>
      <c r="F914" s="8">
        <v>0.31</v>
      </c>
      <c r="G914" s="4">
        <v>18</v>
      </c>
      <c r="H914" s="8">
        <v>2.0499999999999998</v>
      </c>
      <c r="I914" s="4">
        <v>0</v>
      </c>
    </row>
    <row r="915" spans="1:9" x14ac:dyDescent="0.2">
      <c r="A915" s="2">
        <v>19</v>
      </c>
      <c r="B915" s="1" t="s">
        <v>94</v>
      </c>
      <c r="C915" s="4">
        <v>20</v>
      </c>
      <c r="D915" s="8">
        <v>1.3</v>
      </c>
      <c r="E915" s="4">
        <v>0</v>
      </c>
      <c r="F915" s="8">
        <v>0</v>
      </c>
      <c r="G915" s="4">
        <v>20</v>
      </c>
      <c r="H915" s="8">
        <v>2.27</v>
      </c>
      <c r="I915" s="4">
        <v>0</v>
      </c>
    </row>
    <row r="916" spans="1:9" x14ac:dyDescent="0.2">
      <c r="A916" s="2">
        <v>19</v>
      </c>
      <c r="B916" s="1" t="s">
        <v>115</v>
      </c>
      <c r="C916" s="4">
        <v>20</v>
      </c>
      <c r="D916" s="8">
        <v>1.3</v>
      </c>
      <c r="E916" s="4">
        <v>11</v>
      </c>
      <c r="F916" s="8">
        <v>1.68</v>
      </c>
      <c r="G916" s="4">
        <v>9</v>
      </c>
      <c r="H916" s="8">
        <v>1.02</v>
      </c>
      <c r="I916" s="4">
        <v>0</v>
      </c>
    </row>
    <row r="917" spans="1:9" x14ac:dyDescent="0.2">
      <c r="A917" s="1"/>
      <c r="C917" s="4"/>
      <c r="D917" s="8"/>
      <c r="E917" s="4"/>
      <c r="F917" s="8"/>
      <c r="G917" s="4"/>
      <c r="H917" s="8"/>
      <c r="I917" s="4"/>
    </row>
    <row r="918" spans="1:9" x14ac:dyDescent="0.2">
      <c r="A918" s="1" t="s">
        <v>41</v>
      </c>
      <c r="C918" s="4"/>
      <c r="D918" s="8"/>
      <c r="E918" s="4"/>
      <c r="F918" s="8"/>
      <c r="G918" s="4"/>
      <c r="H918" s="8"/>
      <c r="I918" s="4"/>
    </row>
    <row r="919" spans="1:9" x14ac:dyDescent="0.2">
      <c r="A919" s="2">
        <v>1</v>
      </c>
      <c r="B919" s="1" t="s">
        <v>103</v>
      </c>
      <c r="C919" s="4">
        <v>138</v>
      </c>
      <c r="D919" s="8">
        <v>14.84</v>
      </c>
      <c r="E919" s="4">
        <v>123</v>
      </c>
      <c r="F919" s="8">
        <v>27.83</v>
      </c>
      <c r="G919" s="4">
        <v>15</v>
      </c>
      <c r="H919" s="8">
        <v>3.11</v>
      </c>
      <c r="I919" s="4">
        <v>0</v>
      </c>
    </row>
    <row r="920" spans="1:9" x14ac:dyDescent="0.2">
      <c r="A920" s="2">
        <v>2</v>
      </c>
      <c r="B920" s="1" t="s">
        <v>104</v>
      </c>
      <c r="C920" s="4">
        <v>109</v>
      </c>
      <c r="D920" s="8">
        <v>11.72</v>
      </c>
      <c r="E920" s="4">
        <v>90</v>
      </c>
      <c r="F920" s="8">
        <v>20.36</v>
      </c>
      <c r="G920" s="4">
        <v>19</v>
      </c>
      <c r="H920" s="8">
        <v>3.94</v>
      </c>
      <c r="I920" s="4">
        <v>0</v>
      </c>
    </row>
    <row r="921" spans="1:9" x14ac:dyDescent="0.2">
      <c r="A921" s="2">
        <v>3</v>
      </c>
      <c r="B921" s="1" t="s">
        <v>98</v>
      </c>
      <c r="C921" s="4">
        <v>81</v>
      </c>
      <c r="D921" s="8">
        <v>8.7100000000000009</v>
      </c>
      <c r="E921" s="4">
        <v>33</v>
      </c>
      <c r="F921" s="8">
        <v>7.47</v>
      </c>
      <c r="G921" s="4">
        <v>48</v>
      </c>
      <c r="H921" s="8">
        <v>9.9600000000000009</v>
      </c>
      <c r="I921" s="4">
        <v>0</v>
      </c>
    </row>
    <row r="922" spans="1:9" x14ac:dyDescent="0.2">
      <c r="A922" s="2">
        <v>4</v>
      </c>
      <c r="B922" s="1" t="s">
        <v>100</v>
      </c>
      <c r="C922" s="4">
        <v>67</v>
      </c>
      <c r="D922" s="8">
        <v>7.2</v>
      </c>
      <c r="E922" s="4">
        <v>9</v>
      </c>
      <c r="F922" s="8">
        <v>2.04</v>
      </c>
      <c r="G922" s="4">
        <v>58</v>
      </c>
      <c r="H922" s="8">
        <v>12.03</v>
      </c>
      <c r="I922" s="4">
        <v>0</v>
      </c>
    </row>
    <row r="923" spans="1:9" x14ac:dyDescent="0.2">
      <c r="A923" s="2">
        <v>5</v>
      </c>
      <c r="B923" s="1" t="s">
        <v>88</v>
      </c>
      <c r="C923" s="4">
        <v>51</v>
      </c>
      <c r="D923" s="8">
        <v>5.48</v>
      </c>
      <c r="E923" s="4">
        <v>15</v>
      </c>
      <c r="F923" s="8">
        <v>3.39</v>
      </c>
      <c r="G923" s="4">
        <v>36</v>
      </c>
      <c r="H923" s="8">
        <v>7.47</v>
      </c>
      <c r="I923" s="4">
        <v>0</v>
      </c>
    </row>
    <row r="924" spans="1:9" x14ac:dyDescent="0.2">
      <c r="A924" s="2">
        <v>6</v>
      </c>
      <c r="B924" s="1" t="s">
        <v>106</v>
      </c>
      <c r="C924" s="4">
        <v>41</v>
      </c>
      <c r="D924" s="8">
        <v>4.41</v>
      </c>
      <c r="E924" s="4">
        <v>31</v>
      </c>
      <c r="F924" s="8">
        <v>7.01</v>
      </c>
      <c r="G924" s="4">
        <v>10</v>
      </c>
      <c r="H924" s="8">
        <v>2.0699999999999998</v>
      </c>
      <c r="I924" s="4">
        <v>0</v>
      </c>
    </row>
    <row r="925" spans="1:9" x14ac:dyDescent="0.2">
      <c r="A925" s="2">
        <v>7</v>
      </c>
      <c r="B925" s="1" t="s">
        <v>90</v>
      </c>
      <c r="C925" s="4">
        <v>37</v>
      </c>
      <c r="D925" s="8">
        <v>3.98</v>
      </c>
      <c r="E925" s="4">
        <v>7</v>
      </c>
      <c r="F925" s="8">
        <v>1.58</v>
      </c>
      <c r="G925" s="4">
        <v>30</v>
      </c>
      <c r="H925" s="8">
        <v>6.22</v>
      </c>
      <c r="I925" s="4">
        <v>0</v>
      </c>
    </row>
    <row r="926" spans="1:9" x14ac:dyDescent="0.2">
      <c r="A926" s="2">
        <v>8</v>
      </c>
      <c r="B926" s="1" t="s">
        <v>89</v>
      </c>
      <c r="C926" s="4">
        <v>35</v>
      </c>
      <c r="D926" s="8">
        <v>3.76</v>
      </c>
      <c r="E926" s="4">
        <v>12</v>
      </c>
      <c r="F926" s="8">
        <v>2.71</v>
      </c>
      <c r="G926" s="4">
        <v>23</v>
      </c>
      <c r="H926" s="8">
        <v>4.7699999999999996</v>
      </c>
      <c r="I926" s="4">
        <v>0</v>
      </c>
    </row>
    <row r="927" spans="1:9" x14ac:dyDescent="0.2">
      <c r="A927" s="2">
        <v>9</v>
      </c>
      <c r="B927" s="1" t="s">
        <v>97</v>
      </c>
      <c r="C927" s="4">
        <v>33</v>
      </c>
      <c r="D927" s="8">
        <v>3.55</v>
      </c>
      <c r="E927" s="4">
        <v>15</v>
      </c>
      <c r="F927" s="8">
        <v>3.39</v>
      </c>
      <c r="G927" s="4">
        <v>18</v>
      </c>
      <c r="H927" s="8">
        <v>3.73</v>
      </c>
      <c r="I927" s="4">
        <v>0</v>
      </c>
    </row>
    <row r="928" spans="1:9" x14ac:dyDescent="0.2">
      <c r="A928" s="2">
        <v>10</v>
      </c>
      <c r="B928" s="1" t="s">
        <v>95</v>
      </c>
      <c r="C928" s="4">
        <v>32</v>
      </c>
      <c r="D928" s="8">
        <v>3.44</v>
      </c>
      <c r="E928" s="4">
        <v>15</v>
      </c>
      <c r="F928" s="8">
        <v>3.39</v>
      </c>
      <c r="G928" s="4">
        <v>17</v>
      </c>
      <c r="H928" s="8">
        <v>3.53</v>
      </c>
      <c r="I928" s="4">
        <v>0</v>
      </c>
    </row>
    <row r="929" spans="1:9" x14ac:dyDescent="0.2">
      <c r="A929" s="2">
        <v>11</v>
      </c>
      <c r="B929" s="1" t="s">
        <v>105</v>
      </c>
      <c r="C929" s="4">
        <v>31</v>
      </c>
      <c r="D929" s="8">
        <v>3.33</v>
      </c>
      <c r="E929" s="4">
        <v>20</v>
      </c>
      <c r="F929" s="8">
        <v>4.5199999999999996</v>
      </c>
      <c r="G929" s="4">
        <v>7</v>
      </c>
      <c r="H929" s="8">
        <v>1.45</v>
      </c>
      <c r="I929" s="4">
        <v>0</v>
      </c>
    </row>
    <row r="930" spans="1:9" x14ac:dyDescent="0.2">
      <c r="A930" s="2">
        <v>12</v>
      </c>
      <c r="B930" s="1" t="s">
        <v>96</v>
      </c>
      <c r="C930" s="4">
        <v>26</v>
      </c>
      <c r="D930" s="8">
        <v>2.8</v>
      </c>
      <c r="E930" s="4">
        <v>17</v>
      </c>
      <c r="F930" s="8">
        <v>3.85</v>
      </c>
      <c r="G930" s="4">
        <v>9</v>
      </c>
      <c r="H930" s="8">
        <v>1.87</v>
      </c>
      <c r="I930" s="4">
        <v>0</v>
      </c>
    </row>
    <row r="931" spans="1:9" x14ac:dyDescent="0.2">
      <c r="A931" s="2">
        <v>13</v>
      </c>
      <c r="B931" s="1" t="s">
        <v>99</v>
      </c>
      <c r="C931" s="4">
        <v>21</v>
      </c>
      <c r="D931" s="8">
        <v>2.2599999999999998</v>
      </c>
      <c r="E931" s="4">
        <v>1</v>
      </c>
      <c r="F931" s="8">
        <v>0.23</v>
      </c>
      <c r="G931" s="4">
        <v>20</v>
      </c>
      <c r="H931" s="8">
        <v>4.1500000000000004</v>
      </c>
      <c r="I931" s="4">
        <v>0</v>
      </c>
    </row>
    <row r="932" spans="1:9" x14ac:dyDescent="0.2">
      <c r="A932" s="2">
        <v>13</v>
      </c>
      <c r="B932" s="1" t="s">
        <v>101</v>
      </c>
      <c r="C932" s="4">
        <v>21</v>
      </c>
      <c r="D932" s="8">
        <v>2.2599999999999998</v>
      </c>
      <c r="E932" s="4">
        <v>14</v>
      </c>
      <c r="F932" s="8">
        <v>3.17</v>
      </c>
      <c r="G932" s="4">
        <v>7</v>
      </c>
      <c r="H932" s="8">
        <v>1.45</v>
      </c>
      <c r="I932" s="4">
        <v>0</v>
      </c>
    </row>
    <row r="933" spans="1:9" x14ac:dyDescent="0.2">
      <c r="A933" s="2">
        <v>15</v>
      </c>
      <c r="B933" s="1" t="s">
        <v>102</v>
      </c>
      <c r="C933" s="4">
        <v>20</v>
      </c>
      <c r="D933" s="8">
        <v>2.15</v>
      </c>
      <c r="E933" s="4">
        <v>5</v>
      </c>
      <c r="F933" s="8">
        <v>1.1299999999999999</v>
      </c>
      <c r="G933" s="4">
        <v>14</v>
      </c>
      <c r="H933" s="8">
        <v>2.9</v>
      </c>
      <c r="I933" s="4">
        <v>0</v>
      </c>
    </row>
    <row r="934" spans="1:9" x14ac:dyDescent="0.2">
      <c r="A934" s="2">
        <v>16</v>
      </c>
      <c r="B934" s="1" t="s">
        <v>115</v>
      </c>
      <c r="C934" s="4">
        <v>14</v>
      </c>
      <c r="D934" s="8">
        <v>1.51</v>
      </c>
      <c r="E934" s="4">
        <v>3</v>
      </c>
      <c r="F934" s="8">
        <v>0.68</v>
      </c>
      <c r="G934" s="4">
        <v>11</v>
      </c>
      <c r="H934" s="8">
        <v>2.2799999999999998</v>
      </c>
      <c r="I934" s="4">
        <v>0</v>
      </c>
    </row>
    <row r="935" spans="1:9" x14ac:dyDescent="0.2">
      <c r="A935" s="2">
        <v>17</v>
      </c>
      <c r="B935" s="1" t="s">
        <v>93</v>
      </c>
      <c r="C935" s="4">
        <v>12</v>
      </c>
      <c r="D935" s="8">
        <v>1.29</v>
      </c>
      <c r="E935" s="4">
        <v>1</v>
      </c>
      <c r="F935" s="8">
        <v>0.23</v>
      </c>
      <c r="G935" s="4">
        <v>11</v>
      </c>
      <c r="H935" s="8">
        <v>2.2799999999999998</v>
      </c>
      <c r="I935" s="4">
        <v>0</v>
      </c>
    </row>
    <row r="936" spans="1:9" x14ac:dyDescent="0.2">
      <c r="A936" s="2">
        <v>17</v>
      </c>
      <c r="B936" s="1" t="s">
        <v>133</v>
      </c>
      <c r="C936" s="4">
        <v>12</v>
      </c>
      <c r="D936" s="8">
        <v>1.29</v>
      </c>
      <c r="E936" s="4">
        <v>1</v>
      </c>
      <c r="F936" s="8">
        <v>0.23</v>
      </c>
      <c r="G936" s="4">
        <v>11</v>
      </c>
      <c r="H936" s="8">
        <v>2.2799999999999998</v>
      </c>
      <c r="I936" s="4">
        <v>0</v>
      </c>
    </row>
    <row r="937" spans="1:9" x14ac:dyDescent="0.2">
      <c r="A937" s="2">
        <v>19</v>
      </c>
      <c r="B937" s="1" t="s">
        <v>110</v>
      </c>
      <c r="C937" s="4">
        <v>11</v>
      </c>
      <c r="D937" s="8">
        <v>1.18</v>
      </c>
      <c r="E937" s="4">
        <v>1</v>
      </c>
      <c r="F937" s="8">
        <v>0.23</v>
      </c>
      <c r="G937" s="4">
        <v>10</v>
      </c>
      <c r="H937" s="8">
        <v>2.0699999999999998</v>
      </c>
      <c r="I937" s="4">
        <v>0</v>
      </c>
    </row>
    <row r="938" spans="1:9" x14ac:dyDescent="0.2">
      <c r="A938" s="2">
        <v>20</v>
      </c>
      <c r="B938" s="1" t="s">
        <v>119</v>
      </c>
      <c r="C938" s="4">
        <v>10</v>
      </c>
      <c r="D938" s="8">
        <v>1.08</v>
      </c>
      <c r="E938" s="4">
        <v>2</v>
      </c>
      <c r="F938" s="8">
        <v>0.45</v>
      </c>
      <c r="G938" s="4">
        <v>8</v>
      </c>
      <c r="H938" s="8">
        <v>1.66</v>
      </c>
      <c r="I938" s="4">
        <v>0</v>
      </c>
    </row>
    <row r="939" spans="1:9" x14ac:dyDescent="0.2">
      <c r="A939" s="2">
        <v>20</v>
      </c>
      <c r="B939" s="1" t="s">
        <v>94</v>
      </c>
      <c r="C939" s="4">
        <v>10</v>
      </c>
      <c r="D939" s="8">
        <v>1.08</v>
      </c>
      <c r="E939" s="4">
        <v>1</v>
      </c>
      <c r="F939" s="8">
        <v>0.23</v>
      </c>
      <c r="G939" s="4">
        <v>9</v>
      </c>
      <c r="H939" s="8">
        <v>1.87</v>
      </c>
      <c r="I939" s="4">
        <v>0</v>
      </c>
    </row>
    <row r="940" spans="1:9" x14ac:dyDescent="0.2">
      <c r="A940" s="1"/>
      <c r="C940" s="4"/>
      <c r="D940" s="8"/>
      <c r="E940" s="4"/>
      <c r="F940" s="8"/>
      <c r="G940" s="4"/>
      <c r="H940" s="8"/>
      <c r="I940" s="4"/>
    </row>
    <row r="941" spans="1:9" x14ac:dyDescent="0.2">
      <c r="A941" s="1" t="s">
        <v>42</v>
      </c>
      <c r="C941" s="4"/>
      <c r="D941" s="8"/>
      <c r="E941" s="4"/>
      <c r="F941" s="8"/>
      <c r="G941" s="4"/>
      <c r="H941" s="8"/>
      <c r="I941" s="4"/>
    </row>
    <row r="942" spans="1:9" x14ac:dyDescent="0.2">
      <c r="A942" s="2">
        <v>1</v>
      </c>
      <c r="B942" s="1" t="s">
        <v>100</v>
      </c>
      <c r="C942" s="4">
        <v>198</v>
      </c>
      <c r="D942" s="8">
        <v>15.9</v>
      </c>
      <c r="E942" s="4">
        <v>81</v>
      </c>
      <c r="F942" s="8">
        <v>16.010000000000002</v>
      </c>
      <c r="G942" s="4">
        <v>117</v>
      </c>
      <c r="H942" s="8">
        <v>15.85</v>
      </c>
      <c r="I942" s="4">
        <v>0</v>
      </c>
    </row>
    <row r="943" spans="1:9" x14ac:dyDescent="0.2">
      <c r="A943" s="2">
        <v>2</v>
      </c>
      <c r="B943" s="1" t="s">
        <v>103</v>
      </c>
      <c r="C943" s="4">
        <v>125</v>
      </c>
      <c r="D943" s="8">
        <v>10.039999999999999</v>
      </c>
      <c r="E943" s="4">
        <v>97</v>
      </c>
      <c r="F943" s="8">
        <v>19.170000000000002</v>
      </c>
      <c r="G943" s="4">
        <v>28</v>
      </c>
      <c r="H943" s="8">
        <v>3.79</v>
      </c>
      <c r="I943" s="4">
        <v>0</v>
      </c>
    </row>
    <row r="944" spans="1:9" x14ac:dyDescent="0.2">
      <c r="A944" s="2">
        <v>3</v>
      </c>
      <c r="B944" s="1" t="s">
        <v>104</v>
      </c>
      <c r="C944" s="4">
        <v>109</v>
      </c>
      <c r="D944" s="8">
        <v>8.76</v>
      </c>
      <c r="E944" s="4">
        <v>93</v>
      </c>
      <c r="F944" s="8">
        <v>18.38</v>
      </c>
      <c r="G944" s="4">
        <v>16</v>
      </c>
      <c r="H944" s="8">
        <v>2.17</v>
      </c>
      <c r="I944" s="4">
        <v>0</v>
      </c>
    </row>
    <row r="945" spans="1:9" x14ac:dyDescent="0.2">
      <c r="A945" s="2">
        <v>4</v>
      </c>
      <c r="B945" s="1" t="s">
        <v>89</v>
      </c>
      <c r="C945" s="4">
        <v>81</v>
      </c>
      <c r="D945" s="8">
        <v>6.51</v>
      </c>
      <c r="E945" s="4">
        <v>23</v>
      </c>
      <c r="F945" s="8">
        <v>4.55</v>
      </c>
      <c r="G945" s="4">
        <v>58</v>
      </c>
      <c r="H945" s="8">
        <v>7.86</v>
      </c>
      <c r="I945" s="4">
        <v>0</v>
      </c>
    </row>
    <row r="946" spans="1:9" x14ac:dyDescent="0.2">
      <c r="A946" s="2">
        <v>5</v>
      </c>
      <c r="B946" s="1" t="s">
        <v>88</v>
      </c>
      <c r="C946" s="4">
        <v>78</v>
      </c>
      <c r="D946" s="8">
        <v>6.27</v>
      </c>
      <c r="E946" s="4">
        <v>11</v>
      </c>
      <c r="F946" s="8">
        <v>2.17</v>
      </c>
      <c r="G946" s="4">
        <v>67</v>
      </c>
      <c r="H946" s="8">
        <v>9.08</v>
      </c>
      <c r="I946" s="4">
        <v>0</v>
      </c>
    </row>
    <row r="947" spans="1:9" x14ac:dyDescent="0.2">
      <c r="A947" s="2">
        <v>6</v>
      </c>
      <c r="B947" s="1" t="s">
        <v>90</v>
      </c>
      <c r="C947" s="4">
        <v>58</v>
      </c>
      <c r="D947" s="8">
        <v>4.66</v>
      </c>
      <c r="E947" s="4">
        <v>8</v>
      </c>
      <c r="F947" s="8">
        <v>1.58</v>
      </c>
      <c r="G947" s="4">
        <v>50</v>
      </c>
      <c r="H947" s="8">
        <v>6.78</v>
      </c>
      <c r="I947" s="4">
        <v>0</v>
      </c>
    </row>
    <row r="948" spans="1:9" x14ac:dyDescent="0.2">
      <c r="A948" s="2">
        <v>7</v>
      </c>
      <c r="B948" s="1" t="s">
        <v>98</v>
      </c>
      <c r="C948" s="4">
        <v>56</v>
      </c>
      <c r="D948" s="8">
        <v>4.5</v>
      </c>
      <c r="E948" s="4">
        <v>32</v>
      </c>
      <c r="F948" s="8">
        <v>6.32</v>
      </c>
      <c r="G948" s="4">
        <v>24</v>
      </c>
      <c r="H948" s="8">
        <v>3.25</v>
      </c>
      <c r="I948" s="4">
        <v>0</v>
      </c>
    </row>
    <row r="949" spans="1:9" x14ac:dyDescent="0.2">
      <c r="A949" s="2">
        <v>8</v>
      </c>
      <c r="B949" s="1" t="s">
        <v>96</v>
      </c>
      <c r="C949" s="4">
        <v>48</v>
      </c>
      <c r="D949" s="8">
        <v>3.86</v>
      </c>
      <c r="E949" s="4">
        <v>27</v>
      </c>
      <c r="F949" s="8">
        <v>5.34</v>
      </c>
      <c r="G949" s="4">
        <v>21</v>
      </c>
      <c r="H949" s="8">
        <v>2.85</v>
      </c>
      <c r="I949" s="4">
        <v>0</v>
      </c>
    </row>
    <row r="950" spans="1:9" x14ac:dyDescent="0.2">
      <c r="A950" s="2">
        <v>9</v>
      </c>
      <c r="B950" s="1" t="s">
        <v>106</v>
      </c>
      <c r="C950" s="4">
        <v>43</v>
      </c>
      <c r="D950" s="8">
        <v>3.45</v>
      </c>
      <c r="E950" s="4">
        <v>34</v>
      </c>
      <c r="F950" s="8">
        <v>6.72</v>
      </c>
      <c r="G950" s="4">
        <v>9</v>
      </c>
      <c r="H950" s="8">
        <v>1.22</v>
      </c>
      <c r="I950" s="4">
        <v>0</v>
      </c>
    </row>
    <row r="951" spans="1:9" x14ac:dyDescent="0.2">
      <c r="A951" s="2">
        <v>10</v>
      </c>
      <c r="B951" s="1" t="s">
        <v>101</v>
      </c>
      <c r="C951" s="4">
        <v>39</v>
      </c>
      <c r="D951" s="8">
        <v>3.13</v>
      </c>
      <c r="E951" s="4">
        <v>9</v>
      </c>
      <c r="F951" s="8">
        <v>1.78</v>
      </c>
      <c r="G951" s="4">
        <v>30</v>
      </c>
      <c r="H951" s="8">
        <v>4.07</v>
      </c>
      <c r="I951" s="4">
        <v>0</v>
      </c>
    </row>
    <row r="952" spans="1:9" x14ac:dyDescent="0.2">
      <c r="A952" s="2">
        <v>11</v>
      </c>
      <c r="B952" s="1" t="s">
        <v>102</v>
      </c>
      <c r="C952" s="4">
        <v>35</v>
      </c>
      <c r="D952" s="8">
        <v>2.81</v>
      </c>
      <c r="E952" s="4">
        <v>8</v>
      </c>
      <c r="F952" s="8">
        <v>1.58</v>
      </c>
      <c r="G952" s="4">
        <v>27</v>
      </c>
      <c r="H952" s="8">
        <v>3.66</v>
      </c>
      <c r="I952" s="4">
        <v>0</v>
      </c>
    </row>
    <row r="953" spans="1:9" x14ac:dyDescent="0.2">
      <c r="A953" s="2">
        <v>11</v>
      </c>
      <c r="B953" s="1" t="s">
        <v>105</v>
      </c>
      <c r="C953" s="4">
        <v>35</v>
      </c>
      <c r="D953" s="8">
        <v>2.81</v>
      </c>
      <c r="E953" s="4">
        <v>16</v>
      </c>
      <c r="F953" s="8">
        <v>3.16</v>
      </c>
      <c r="G953" s="4">
        <v>19</v>
      </c>
      <c r="H953" s="8">
        <v>2.57</v>
      </c>
      <c r="I953" s="4">
        <v>0</v>
      </c>
    </row>
    <row r="954" spans="1:9" x14ac:dyDescent="0.2">
      <c r="A954" s="2">
        <v>13</v>
      </c>
      <c r="B954" s="1" t="s">
        <v>97</v>
      </c>
      <c r="C954" s="4">
        <v>33</v>
      </c>
      <c r="D954" s="8">
        <v>2.65</v>
      </c>
      <c r="E954" s="4">
        <v>13</v>
      </c>
      <c r="F954" s="8">
        <v>2.57</v>
      </c>
      <c r="G954" s="4">
        <v>20</v>
      </c>
      <c r="H954" s="8">
        <v>2.71</v>
      </c>
      <c r="I954" s="4">
        <v>0</v>
      </c>
    </row>
    <row r="955" spans="1:9" x14ac:dyDescent="0.2">
      <c r="A955" s="2">
        <v>14</v>
      </c>
      <c r="B955" s="1" t="s">
        <v>94</v>
      </c>
      <c r="C955" s="4">
        <v>21</v>
      </c>
      <c r="D955" s="8">
        <v>1.69</v>
      </c>
      <c r="E955" s="4">
        <v>6</v>
      </c>
      <c r="F955" s="8">
        <v>1.19</v>
      </c>
      <c r="G955" s="4">
        <v>15</v>
      </c>
      <c r="H955" s="8">
        <v>2.0299999999999998</v>
      </c>
      <c r="I955" s="4">
        <v>0</v>
      </c>
    </row>
    <row r="956" spans="1:9" x14ac:dyDescent="0.2">
      <c r="A956" s="2">
        <v>15</v>
      </c>
      <c r="B956" s="1" t="s">
        <v>107</v>
      </c>
      <c r="C956" s="4">
        <v>19</v>
      </c>
      <c r="D956" s="8">
        <v>1.53</v>
      </c>
      <c r="E956" s="4">
        <v>0</v>
      </c>
      <c r="F956" s="8">
        <v>0</v>
      </c>
      <c r="G956" s="4">
        <v>18</v>
      </c>
      <c r="H956" s="8">
        <v>2.44</v>
      </c>
      <c r="I956" s="4">
        <v>1</v>
      </c>
    </row>
    <row r="957" spans="1:9" x14ac:dyDescent="0.2">
      <c r="A957" s="2">
        <v>16</v>
      </c>
      <c r="B957" s="1" t="s">
        <v>95</v>
      </c>
      <c r="C957" s="4">
        <v>18</v>
      </c>
      <c r="D957" s="8">
        <v>1.45</v>
      </c>
      <c r="E957" s="4">
        <v>6</v>
      </c>
      <c r="F957" s="8">
        <v>1.19</v>
      </c>
      <c r="G957" s="4">
        <v>12</v>
      </c>
      <c r="H957" s="8">
        <v>1.63</v>
      </c>
      <c r="I957" s="4">
        <v>0</v>
      </c>
    </row>
    <row r="958" spans="1:9" x14ac:dyDescent="0.2">
      <c r="A958" s="2">
        <v>17</v>
      </c>
      <c r="B958" s="1" t="s">
        <v>92</v>
      </c>
      <c r="C958" s="4">
        <v>16</v>
      </c>
      <c r="D958" s="8">
        <v>1.29</v>
      </c>
      <c r="E958" s="4">
        <v>1</v>
      </c>
      <c r="F958" s="8">
        <v>0.2</v>
      </c>
      <c r="G958" s="4">
        <v>15</v>
      </c>
      <c r="H958" s="8">
        <v>2.0299999999999998</v>
      </c>
      <c r="I958" s="4">
        <v>0</v>
      </c>
    </row>
    <row r="959" spans="1:9" x14ac:dyDescent="0.2">
      <c r="A959" s="2">
        <v>17</v>
      </c>
      <c r="B959" s="1" t="s">
        <v>99</v>
      </c>
      <c r="C959" s="4">
        <v>16</v>
      </c>
      <c r="D959" s="8">
        <v>1.29</v>
      </c>
      <c r="E959" s="4">
        <v>0</v>
      </c>
      <c r="F959" s="8">
        <v>0</v>
      </c>
      <c r="G959" s="4">
        <v>16</v>
      </c>
      <c r="H959" s="8">
        <v>2.17</v>
      </c>
      <c r="I959" s="4">
        <v>0</v>
      </c>
    </row>
    <row r="960" spans="1:9" x14ac:dyDescent="0.2">
      <c r="A960" s="2">
        <v>19</v>
      </c>
      <c r="B960" s="1" t="s">
        <v>110</v>
      </c>
      <c r="C960" s="4">
        <v>15</v>
      </c>
      <c r="D960" s="8">
        <v>1.2</v>
      </c>
      <c r="E960" s="4">
        <v>4</v>
      </c>
      <c r="F960" s="8">
        <v>0.79</v>
      </c>
      <c r="G960" s="4">
        <v>11</v>
      </c>
      <c r="H960" s="8">
        <v>1.49</v>
      </c>
      <c r="I960" s="4">
        <v>0</v>
      </c>
    </row>
    <row r="961" spans="1:9" x14ac:dyDescent="0.2">
      <c r="A961" s="2">
        <v>19</v>
      </c>
      <c r="B961" s="1" t="s">
        <v>115</v>
      </c>
      <c r="C961" s="4">
        <v>15</v>
      </c>
      <c r="D961" s="8">
        <v>1.2</v>
      </c>
      <c r="E961" s="4">
        <v>7</v>
      </c>
      <c r="F961" s="8">
        <v>1.38</v>
      </c>
      <c r="G961" s="4">
        <v>8</v>
      </c>
      <c r="H961" s="8">
        <v>1.08</v>
      </c>
      <c r="I961" s="4">
        <v>0</v>
      </c>
    </row>
    <row r="962" spans="1:9" x14ac:dyDescent="0.2">
      <c r="A962" s="1"/>
      <c r="C962" s="4"/>
      <c r="D962" s="8"/>
      <c r="E962" s="4"/>
      <c r="F962" s="8"/>
      <c r="G962" s="4"/>
      <c r="H962" s="8"/>
      <c r="I962" s="4"/>
    </row>
    <row r="963" spans="1:9" x14ac:dyDescent="0.2">
      <c r="A963" s="1" t="s">
        <v>43</v>
      </c>
      <c r="C963" s="4"/>
      <c r="D963" s="8"/>
      <c r="E963" s="4"/>
      <c r="F963" s="8"/>
      <c r="G963" s="4"/>
      <c r="H963" s="8"/>
      <c r="I963" s="4"/>
    </row>
    <row r="964" spans="1:9" x14ac:dyDescent="0.2">
      <c r="A964" s="2">
        <v>1</v>
      </c>
      <c r="B964" s="1" t="s">
        <v>103</v>
      </c>
      <c r="C964" s="4">
        <v>153</v>
      </c>
      <c r="D964" s="8">
        <v>10.42</v>
      </c>
      <c r="E964" s="4">
        <v>125</v>
      </c>
      <c r="F964" s="8">
        <v>20.46</v>
      </c>
      <c r="G964" s="4">
        <v>28</v>
      </c>
      <c r="H964" s="8">
        <v>3.32</v>
      </c>
      <c r="I964" s="4">
        <v>0</v>
      </c>
    </row>
    <row r="965" spans="1:9" x14ac:dyDescent="0.2">
      <c r="A965" s="2">
        <v>2</v>
      </c>
      <c r="B965" s="1" t="s">
        <v>104</v>
      </c>
      <c r="C965" s="4">
        <v>138</v>
      </c>
      <c r="D965" s="8">
        <v>9.39</v>
      </c>
      <c r="E965" s="4">
        <v>108</v>
      </c>
      <c r="F965" s="8">
        <v>17.68</v>
      </c>
      <c r="G965" s="4">
        <v>30</v>
      </c>
      <c r="H965" s="8">
        <v>3.55</v>
      </c>
      <c r="I965" s="4">
        <v>0</v>
      </c>
    </row>
    <row r="966" spans="1:9" x14ac:dyDescent="0.2">
      <c r="A966" s="2">
        <v>3</v>
      </c>
      <c r="B966" s="1" t="s">
        <v>89</v>
      </c>
      <c r="C966" s="4">
        <v>133</v>
      </c>
      <c r="D966" s="8">
        <v>9.0500000000000007</v>
      </c>
      <c r="E966" s="4">
        <v>31</v>
      </c>
      <c r="F966" s="8">
        <v>5.07</v>
      </c>
      <c r="G966" s="4">
        <v>102</v>
      </c>
      <c r="H966" s="8">
        <v>12.09</v>
      </c>
      <c r="I966" s="4">
        <v>0</v>
      </c>
    </row>
    <row r="967" spans="1:9" x14ac:dyDescent="0.2">
      <c r="A967" s="2">
        <v>4</v>
      </c>
      <c r="B967" s="1" t="s">
        <v>100</v>
      </c>
      <c r="C967" s="4">
        <v>105</v>
      </c>
      <c r="D967" s="8">
        <v>7.15</v>
      </c>
      <c r="E967" s="4">
        <v>3</v>
      </c>
      <c r="F967" s="8">
        <v>0.49</v>
      </c>
      <c r="G967" s="4">
        <v>102</v>
      </c>
      <c r="H967" s="8">
        <v>12.09</v>
      </c>
      <c r="I967" s="4">
        <v>0</v>
      </c>
    </row>
    <row r="968" spans="1:9" x14ac:dyDescent="0.2">
      <c r="A968" s="2">
        <v>5</v>
      </c>
      <c r="B968" s="1" t="s">
        <v>88</v>
      </c>
      <c r="C968" s="4">
        <v>102</v>
      </c>
      <c r="D968" s="8">
        <v>6.94</v>
      </c>
      <c r="E968" s="4">
        <v>18</v>
      </c>
      <c r="F968" s="8">
        <v>2.95</v>
      </c>
      <c r="G968" s="4">
        <v>84</v>
      </c>
      <c r="H968" s="8">
        <v>9.9499999999999993</v>
      </c>
      <c r="I968" s="4">
        <v>0</v>
      </c>
    </row>
    <row r="969" spans="1:9" x14ac:dyDescent="0.2">
      <c r="A969" s="2">
        <v>6</v>
      </c>
      <c r="B969" s="1" t="s">
        <v>90</v>
      </c>
      <c r="C969" s="4">
        <v>91</v>
      </c>
      <c r="D969" s="8">
        <v>6.19</v>
      </c>
      <c r="E969" s="4">
        <v>10</v>
      </c>
      <c r="F969" s="8">
        <v>1.64</v>
      </c>
      <c r="G969" s="4">
        <v>81</v>
      </c>
      <c r="H969" s="8">
        <v>9.6</v>
      </c>
      <c r="I969" s="4">
        <v>0</v>
      </c>
    </row>
    <row r="970" spans="1:9" x14ac:dyDescent="0.2">
      <c r="A970" s="2">
        <v>7</v>
      </c>
      <c r="B970" s="1" t="s">
        <v>98</v>
      </c>
      <c r="C970" s="4">
        <v>77</v>
      </c>
      <c r="D970" s="8">
        <v>5.24</v>
      </c>
      <c r="E970" s="4">
        <v>40</v>
      </c>
      <c r="F970" s="8">
        <v>6.55</v>
      </c>
      <c r="G970" s="4">
        <v>37</v>
      </c>
      <c r="H970" s="8">
        <v>4.38</v>
      </c>
      <c r="I970" s="4">
        <v>0</v>
      </c>
    </row>
    <row r="971" spans="1:9" x14ac:dyDescent="0.2">
      <c r="A971" s="2">
        <v>8</v>
      </c>
      <c r="B971" s="1" t="s">
        <v>105</v>
      </c>
      <c r="C971" s="4">
        <v>70</v>
      </c>
      <c r="D971" s="8">
        <v>4.7699999999999996</v>
      </c>
      <c r="E971" s="4">
        <v>48</v>
      </c>
      <c r="F971" s="8">
        <v>7.86</v>
      </c>
      <c r="G971" s="4">
        <v>15</v>
      </c>
      <c r="H971" s="8">
        <v>1.78</v>
      </c>
      <c r="I971" s="4">
        <v>0</v>
      </c>
    </row>
    <row r="972" spans="1:9" x14ac:dyDescent="0.2">
      <c r="A972" s="2">
        <v>9</v>
      </c>
      <c r="B972" s="1" t="s">
        <v>106</v>
      </c>
      <c r="C972" s="4">
        <v>58</v>
      </c>
      <c r="D972" s="8">
        <v>3.95</v>
      </c>
      <c r="E972" s="4">
        <v>51</v>
      </c>
      <c r="F972" s="8">
        <v>8.35</v>
      </c>
      <c r="G972" s="4">
        <v>7</v>
      </c>
      <c r="H972" s="8">
        <v>0.83</v>
      </c>
      <c r="I972" s="4">
        <v>0</v>
      </c>
    </row>
    <row r="973" spans="1:9" x14ac:dyDescent="0.2">
      <c r="A973" s="2">
        <v>10</v>
      </c>
      <c r="B973" s="1" t="s">
        <v>96</v>
      </c>
      <c r="C973" s="4">
        <v>56</v>
      </c>
      <c r="D973" s="8">
        <v>3.81</v>
      </c>
      <c r="E973" s="4">
        <v>37</v>
      </c>
      <c r="F973" s="8">
        <v>6.06</v>
      </c>
      <c r="G973" s="4">
        <v>19</v>
      </c>
      <c r="H973" s="8">
        <v>2.25</v>
      </c>
      <c r="I973" s="4">
        <v>0</v>
      </c>
    </row>
    <row r="974" spans="1:9" x14ac:dyDescent="0.2">
      <c r="A974" s="2">
        <v>11</v>
      </c>
      <c r="B974" s="1" t="s">
        <v>101</v>
      </c>
      <c r="C974" s="4">
        <v>54</v>
      </c>
      <c r="D974" s="8">
        <v>3.68</v>
      </c>
      <c r="E974" s="4">
        <v>29</v>
      </c>
      <c r="F974" s="8">
        <v>4.75</v>
      </c>
      <c r="G974" s="4">
        <v>25</v>
      </c>
      <c r="H974" s="8">
        <v>2.96</v>
      </c>
      <c r="I974" s="4">
        <v>0</v>
      </c>
    </row>
    <row r="975" spans="1:9" x14ac:dyDescent="0.2">
      <c r="A975" s="2">
        <v>12</v>
      </c>
      <c r="B975" s="1" t="s">
        <v>97</v>
      </c>
      <c r="C975" s="4">
        <v>42</v>
      </c>
      <c r="D975" s="8">
        <v>2.86</v>
      </c>
      <c r="E975" s="4">
        <v>21</v>
      </c>
      <c r="F975" s="8">
        <v>3.44</v>
      </c>
      <c r="G975" s="4">
        <v>21</v>
      </c>
      <c r="H975" s="8">
        <v>2.4900000000000002</v>
      </c>
      <c r="I975" s="4">
        <v>0</v>
      </c>
    </row>
    <row r="976" spans="1:9" x14ac:dyDescent="0.2">
      <c r="A976" s="2">
        <v>13</v>
      </c>
      <c r="B976" s="1" t="s">
        <v>99</v>
      </c>
      <c r="C976" s="4">
        <v>33</v>
      </c>
      <c r="D976" s="8">
        <v>2.25</v>
      </c>
      <c r="E976" s="4">
        <v>1</v>
      </c>
      <c r="F976" s="8">
        <v>0.16</v>
      </c>
      <c r="G976" s="4">
        <v>32</v>
      </c>
      <c r="H976" s="8">
        <v>3.79</v>
      </c>
      <c r="I976" s="4">
        <v>0</v>
      </c>
    </row>
    <row r="977" spans="1:9" x14ac:dyDescent="0.2">
      <c r="A977" s="2">
        <v>14</v>
      </c>
      <c r="B977" s="1" t="s">
        <v>102</v>
      </c>
      <c r="C977" s="4">
        <v>29</v>
      </c>
      <c r="D977" s="8">
        <v>1.97</v>
      </c>
      <c r="E977" s="4">
        <v>10</v>
      </c>
      <c r="F977" s="8">
        <v>1.64</v>
      </c>
      <c r="G977" s="4">
        <v>19</v>
      </c>
      <c r="H977" s="8">
        <v>2.25</v>
      </c>
      <c r="I977" s="4">
        <v>0</v>
      </c>
    </row>
    <row r="978" spans="1:9" x14ac:dyDescent="0.2">
      <c r="A978" s="2">
        <v>15</v>
      </c>
      <c r="B978" s="1" t="s">
        <v>115</v>
      </c>
      <c r="C978" s="4">
        <v>25</v>
      </c>
      <c r="D978" s="8">
        <v>1.7</v>
      </c>
      <c r="E978" s="4">
        <v>13</v>
      </c>
      <c r="F978" s="8">
        <v>2.13</v>
      </c>
      <c r="G978" s="4">
        <v>12</v>
      </c>
      <c r="H978" s="8">
        <v>1.42</v>
      </c>
      <c r="I978" s="4">
        <v>0</v>
      </c>
    </row>
    <row r="979" spans="1:9" x14ac:dyDescent="0.2">
      <c r="A979" s="2">
        <v>16</v>
      </c>
      <c r="B979" s="1" t="s">
        <v>107</v>
      </c>
      <c r="C979" s="4">
        <v>24</v>
      </c>
      <c r="D979" s="8">
        <v>1.63</v>
      </c>
      <c r="E979" s="4">
        <v>3</v>
      </c>
      <c r="F979" s="8">
        <v>0.49</v>
      </c>
      <c r="G979" s="4">
        <v>21</v>
      </c>
      <c r="H979" s="8">
        <v>2.4900000000000002</v>
      </c>
      <c r="I979" s="4">
        <v>0</v>
      </c>
    </row>
    <row r="980" spans="1:9" x14ac:dyDescent="0.2">
      <c r="A980" s="2">
        <v>17</v>
      </c>
      <c r="B980" s="1" t="s">
        <v>132</v>
      </c>
      <c r="C980" s="4">
        <v>21</v>
      </c>
      <c r="D980" s="8">
        <v>1.43</v>
      </c>
      <c r="E980" s="4">
        <v>1</v>
      </c>
      <c r="F980" s="8">
        <v>0.16</v>
      </c>
      <c r="G980" s="4">
        <v>16</v>
      </c>
      <c r="H980" s="8">
        <v>1.9</v>
      </c>
      <c r="I980" s="4">
        <v>0</v>
      </c>
    </row>
    <row r="981" spans="1:9" x14ac:dyDescent="0.2">
      <c r="A981" s="2">
        <v>18</v>
      </c>
      <c r="B981" s="1" t="s">
        <v>95</v>
      </c>
      <c r="C981" s="4">
        <v>17</v>
      </c>
      <c r="D981" s="8">
        <v>1.1599999999999999</v>
      </c>
      <c r="E981" s="4">
        <v>9</v>
      </c>
      <c r="F981" s="8">
        <v>1.47</v>
      </c>
      <c r="G981" s="4">
        <v>8</v>
      </c>
      <c r="H981" s="8">
        <v>0.95</v>
      </c>
      <c r="I981" s="4">
        <v>0</v>
      </c>
    </row>
    <row r="982" spans="1:9" x14ac:dyDescent="0.2">
      <c r="A982" s="2">
        <v>19</v>
      </c>
      <c r="B982" s="1" t="s">
        <v>94</v>
      </c>
      <c r="C982" s="4">
        <v>16</v>
      </c>
      <c r="D982" s="8">
        <v>1.0900000000000001</v>
      </c>
      <c r="E982" s="4">
        <v>1</v>
      </c>
      <c r="F982" s="8">
        <v>0.16</v>
      </c>
      <c r="G982" s="4">
        <v>15</v>
      </c>
      <c r="H982" s="8">
        <v>1.78</v>
      </c>
      <c r="I982" s="4">
        <v>0</v>
      </c>
    </row>
    <row r="983" spans="1:9" x14ac:dyDescent="0.2">
      <c r="A983" s="2">
        <v>19</v>
      </c>
      <c r="B983" s="1" t="s">
        <v>133</v>
      </c>
      <c r="C983" s="4">
        <v>16</v>
      </c>
      <c r="D983" s="8">
        <v>1.0900000000000001</v>
      </c>
      <c r="E983" s="4">
        <v>5</v>
      </c>
      <c r="F983" s="8">
        <v>0.82</v>
      </c>
      <c r="G983" s="4">
        <v>11</v>
      </c>
      <c r="H983" s="8">
        <v>1.3</v>
      </c>
      <c r="I983" s="4">
        <v>0</v>
      </c>
    </row>
    <row r="984" spans="1:9" x14ac:dyDescent="0.2">
      <c r="A984" s="1"/>
      <c r="C984" s="4"/>
      <c r="D984" s="8"/>
      <c r="E984" s="4"/>
      <c r="F984" s="8"/>
      <c r="G984" s="4"/>
      <c r="H984" s="8"/>
      <c r="I984" s="4"/>
    </row>
    <row r="985" spans="1:9" x14ac:dyDescent="0.2">
      <c r="A985" s="1" t="s">
        <v>44</v>
      </c>
      <c r="C985" s="4"/>
      <c r="D985" s="8"/>
      <c r="E985" s="4"/>
      <c r="F985" s="8"/>
      <c r="G985" s="4"/>
      <c r="H985" s="8"/>
      <c r="I985" s="4"/>
    </row>
    <row r="986" spans="1:9" x14ac:dyDescent="0.2">
      <c r="A986" s="2">
        <v>1</v>
      </c>
      <c r="B986" s="1" t="s">
        <v>104</v>
      </c>
      <c r="C986" s="4">
        <v>131</v>
      </c>
      <c r="D986" s="8">
        <v>12.1</v>
      </c>
      <c r="E986" s="4">
        <v>102</v>
      </c>
      <c r="F986" s="8">
        <v>20.12</v>
      </c>
      <c r="G986" s="4">
        <v>29</v>
      </c>
      <c r="H986" s="8">
        <v>5.23</v>
      </c>
      <c r="I986" s="4">
        <v>0</v>
      </c>
    </row>
    <row r="987" spans="1:9" x14ac:dyDescent="0.2">
      <c r="A987" s="2">
        <v>2</v>
      </c>
      <c r="B987" s="1" t="s">
        <v>103</v>
      </c>
      <c r="C987" s="4">
        <v>118</v>
      </c>
      <c r="D987" s="8">
        <v>10.9</v>
      </c>
      <c r="E987" s="4">
        <v>96</v>
      </c>
      <c r="F987" s="8">
        <v>18.93</v>
      </c>
      <c r="G987" s="4">
        <v>22</v>
      </c>
      <c r="H987" s="8">
        <v>3.96</v>
      </c>
      <c r="I987" s="4">
        <v>0</v>
      </c>
    </row>
    <row r="988" spans="1:9" x14ac:dyDescent="0.2">
      <c r="A988" s="2">
        <v>3</v>
      </c>
      <c r="B988" s="1" t="s">
        <v>100</v>
      </c>
      <c r="C988" s="4">
        <v>76</v>
      </c>
      <c r="D988" s="8">
        <v>7.02</v>
      </c>
      <c r="E988" s="4">
        <v>21</v>
      </c>
      <c r="F988" s="8">
        <v>4.1399999999999997</v>
      </c>
      <c r="G988" s="4">
        <v>55</v>
      </c>
      <c r="H988" s="8">
        <v>9.91</v>
      </c>
      <c r="I988" s="4">
        <v>0</v>
      </c>
    </row>
    <row r="989" spans="1:9" x14ac:dyDescent="0.2">
      <c r="A989" s="2">
        <v>4</v>
      </c>
      <c r="B989" s="1" t="s">
        <v>98</v>
      </c>
      <c r="C989" s="4">
        <v>71</v>
      </c>
      <c r="D989" s="8">
        <v>6.56</v>
      </c>
      <c r="E989" s="4">
        <v>39</v>
      </c>
      <c r="F989" s="8">
        <v>7.69</v>
      </c>
      <c r="G989" s="4">
        <v>32</v>
      </c>
      <c r="H989" s="8">
        <v>5.77</v>
      </c>
      <c r="I989" s="4">
        <v>0</v>
      </c>
    </row>
    <row r="990" spans="1:9" x14ac:dyDescent="0.2">
      <c r="A990" s="2">
        <v>5</v>
      </c>
      <c r="B990" s="1" t="s">
        <v>105</v>
      </c>
      <c r="C990" s="4">
        <v>62</v>
      </c>
      <c r="D990" s="8">
        <v>5.72</v>
      </c>
      <c r="E990" s="4">
        <v>43</v>
      </c>
      <c r="F990" s="8">
        <v>8.48</v>
      </c>
      <c r="G990" s="4">
        <v>15</v>
      </c>
      <c r="H990" s="8">
        <v>2.7</v>
      </c>
      <c r="I990" s="4">
        <v>0</v>
      </c>
    </row>
    <row r="991" spans="1:9" x14ac:dyDescent="0.2">
      <c r="A991" s="2">
        <v>6</v>
      </c>
      <c r="B991" s="1" t="s">
        <v>88</v>
      </c>
      <c r="C991" s="4">
        <v>61</v>
      </c>
      <c r="D991" s="8">
        <v>5.63</v>
      </c>
      <c r="E991" s="4">
        <v>9</v>
      </c>
      <c r="F991" s="8">
        <v>1.78</v>
      </c>
      <c r="G991" s="4">
        <v>52</v>
      </c>
      <c r="H991" s="8">
        <v>9.3699999999999992</v>
      </c>
      <c r="I991" s="4">
        <v>0</v>
      </c>
    </row>
    <row r="992" spans="1:9" x14ac:dyDescent="0.2">
      <c r="A992" s="2">
        <v>7</v>
      </c>
      <c r="B992" s="1" t="s">
        <v>96</v>
      </c>
      <c r="C992" s="4">
        <v>56</v>
      </c>
      <c r="D992" s="8">
        <v>5.17</v>
      </c>
      <c r="E992" s="4">
        <v>39</v>
      </c>
      <c r="F992" s="8">
        <v>7.69</v>
      </c>
      <c r="G992" s="4">
        <v>17</v>
      </c>
      <c r="H992" s="8">
        <v>3.06</v>
      </c>
      <c r="I992" s="4">
        <v>0</v>
      </c>
    </row>
    <row r="993" spans="1:9" x14ac:dyDescent="0.2">
      <c r="A993" s="2">
        <v>8</v>
      </c>
      <c r="B993" s="1" t="s">
        <v>89</v>
      </c>
      <c r="C993" s="4">
        <v>55</v>
      </c>
      <c r="D993" s="8">
        <v>5.08</v>
      </c>
      <c r="E993" s="4">
        <v>12</v>
      </c>
      <c r="F993" s="8">
        <v>2.37</v>
      </c>
      <c r="G993" s="4">
        <v>43</v>
      </c>
      <c r="H993" s="8">
        <v>7.75</v>
      </c>
      <c r="I993" s="4">
        <v>0</v>
      </c>
    </row>
    <row r="994" spans="1:9" x14ac:dyDescent="0.2">
      <c r="A994" s="2">
        <v>8</v>
      </c>
      <c r="B994" s="1" t="s">
        <v>90</v>
      </c>
      <c r="C994" s="4">
        <v>55</v>
      </c>
      <c r="D994" s="8">
        <v>5.08</v>
      </c>
      <c r="E994" s="4">
        <v>8</v>
      </c>
      <c r="F994" s="8">
        <v>1.58</v>
      </c>
      <c r="G994" s="4">
        <v>47</v>
      </c>
      <c r="H994" s="8">
        <v>8.4700000000000006</v>
      </c>
      <c r="I994" s="4">
        <v>0</v>
      </c>
    </row>
    <row r="995" spans="1:9" x14ac:dyDescent="0.2">
      <c r="A995" s="2">
        <v>10</v>
      </c>
      <c r="B995" s="1" t="s">
        <v>106</v>
      </c>
      <c r="C995" s="4">
        <v>47</v>
      </c>
      <c r="D995" s="8">
        <v>4.34</v>
      </c>
      <c r="E995" s="4">
        <v>40</v>
      </c>
      <c r="F995" s="8">
        <v>7.89</v>
      </c>
      <c r="G995" s="4">
        <v>7</v>
      </c>
      <c r="H995" s="8">
        <v>1.26</v>
      </c>
      <c r="I995" s="4">
        <v>0</v>
      </c>
    </row>
    <row r="996" spans="1:9" x14ac:dyDescent="0.2">
      <c r="A996" s="2">
        <v>11</v>
      </c>
      <c r="B996" s="1" t="s">
        <v>132</v>
      </c>
      <c r="C996" s="4">
        <v>37</v>
      </c>
      <c r="D996" s="8">
        <v>3.42</v>
      </c>
      <c r="E996" s="4">
        <v>3</v>
      </c>
      <c r="F996" s="8">
        <v>0.59</v>
      </c>
      <c r="G996" s="4">
        <v>18</v>
      </c>
      <c r="H996" s="8">
        <v>3.24</v>
      </c>
      <c r="I996" s="4">
        <v>0</v>
      </c>
    </row>
    <row r="997" spans="1:9" x14ac:dyDescent="0.2">
      <c r="A997" s="2">
        <v>12</v>
      </c>
      <c r="B997" s="1" t="s">
        <v>102</v>
      </c>
      <c r="C997" s="4">
        <v>26</v>
      </c>
      <c r="D997" s="8">
        <v>2.4</v>
      </c>
      <c r="E997" s="4">
        <v>9</v>
      </c>
      <c r="F997" s="8">
        <v>1.78</v>
      </c>
      <c r="G997" s="4">
        <v>17</v>
      </c>
      <c r="H997" s="8">
        <v>3.06</v>
      </c>
      <c r="I997" s="4">
        <v>0</v>
      </c>
    </row>
    <row r="998" spans="1:9" x14ac:dyDescent="0.2">
      <c r="A998" s="2">
        <v>13</v>
      </c>
      <c r="B998" s="1" t="s">
        <v>101</v>
      </c>
      <c r="C998" s="4">
        <v>25</v>
      </c>
      <c r="D998" s="8">
        <v>2.31</v>
      </c>
      <c r="E998" s="4">
        <v>12</v>
      </c>
      <c r="F998" s="8">
        <v>2.37</v>
      </c>
      <c r="G998" s="4">
        <v>13</v>
      </c>
      <c r="H998" s="8">
        <v>2.34</v>
      </c>
      <c r="I998" s="4">
        <v>0</v>
      </c>
    </row>
    <row r="999" spans="1:9" x14ac:dyDescent="0.2">
      <c r="A999" s="2">
        <v>14</v>
      </c>
      <c r="B999" s="1" t="s">
        <v>99</v>
      </c>
      <c r="C999" s="4">
        <v>23</v>
      </c>
      <c r="D999" s="8">
        <v>2.12</v>
      </c>
      <c r="E999" s="4">
        <v>1</v>
      </c>
      <c r="F999" s="8">
        <v>0.2</v>
      </c>
      <c r="G999" s="4">
        <v>22</v>
      </c>
      <c r="H999" s="8">
        <v>3.96</v>
      </c>
      <c r="I999" s="4">
        <v>0</v>
      </c>
    </row>
    <row r="1000" spans="1:9" x14ac:dyDescent="0.2">
      <c r="A1000" s="2">
        <v>15</v>
      </c>
      <c r="B1000" s="1" t="s">
        <v>97</v>
      </c>
      <c r="C1000" s="4">
        <v>21</v>
      </c>
      <c r="D1000" s="8">
        <v>1.94</v>
      </c>
      <c r="E1000" s="4">
        <v>11</v>
      </c>
      <c r="F1000" s="8">
        <v>2.17</v>
      </c>
      <c r="G1000" s="4">
        <v>10</v>
      </c>
      <c r="H1000" s="8">
        <v>1.8</v>
      </c>
      <c r="I1000" s="4">
        <v>0</v>
      </c>
    </row>
    <row r="1001" spans="1:9" x14ac:dyDescent="0.2">
      <c r="A1001" s="2">
        <v>16</v>
      </c>
      <c r="B1001" s="1" t="s">
        <v>95</v>
      </c>
      <c r="C1001" s="4">
        <v>18</v>
      </c>
      <c r="D1001" s="8">
        <v>1.66</v>
      </c>
      <c r="E1001" s="4">
        <v>11</v>
      </c>
      <c r="F1001" s="8">
        <v>2.17</v>
      </c>
      <c r="G1001" s="4">
        <v>7</v>
      </c>
      <c r="H1001" s="8">
        <v>1.26</v>
      </c>
      <c r="I1001" s="4">
        <v>0</v>
      </c>
    </row>
    <row r="1002" spans="1:9" x14ac:dyDescent="0.2">
      <c r="A1002" s="2">
        <v>17</v>
      </c>
      <c r="B1002" s="1" t="s">
        <v>115</v>
      </c>
      <c r="C1002" s="4">
        <v>17</v>
      </c>
      <c r="D1002" s="8">
        <v>1.57</v>
      </c>
      <c r="E1002" s="4">
        <v>10</v>
      </c>
      <c r="F1002" s="8">
        <v>1.97</v>
      </c>
      <c r="G1002" s="4">
        <v>7</v>
      </c>
      <c r="H1002" s="8">
        <v>1.26</v>
      </c>
      <c r="I1002" s="4">
        <v>0</v>
      </c>
    </row>
    <row r="1003" spans="1:9" x14ac:dyDescent="0.2">
      <c r="A1003" s="2">
        <v>18</v>
      </c>
      <c r="B1003" s="1" t="s">
        <v>107</v>
      </c>
      <c r="C1003" s="4">
        <v>16</v>
      </c>
      <c r="D1003" s="8">
        <v>1.48</v>
      </c>
      <c r="E1003" s="4">
        <v>1</v>
      </c>
      <c r="F1003" s="8">
        <v>0.2</v>
      </c>
      <c r="G1003" s="4">
        <v>15</v>
      </c>
      <c r="H1003" s="8">
        <v>2.7</v>
      </c>
      <c r="I1003" s="4">
        <v>0</v>
      </c>
    </row>
    <row r="1004" spans="1:9" x14ac:dyDescent="0.2">
      <c r="A1004" s="2">
        <v>19</v>
      </c>
      <c r="B1004" s="1" t="s">
        <v>94</v>
      </c>
      <c r="C1004" s="4">
        <v>13</v>
      </c>
      <c r="D1004" s="8">
        <v>1.2</v>
      </c>
      <c r="E1004" s="4">
        <v>2</v>
      </c>
      <c r="F1004" s="8">
        <v>0.39</v>
      </c>
      <c r="G1004" s="4">
        <v>11</v>
      </c>
      <c r="H1004" s="8">
        <v>1.98</v>
      </c>
      <c r="I1004" s="4">
        <v>0</v>
      </c>
    </row>
    <row r="1005" spans="1:9" x14ac:dyDescent="0.2">
      <c r="A1005" s="2">
        <v>20</v>
      </c>
      <c r="B1005" s="1" t="s">
        <v>114</v>
      </c>
      <c r="C1005" s="4">
        <v>12</v>
      </c>
      <c r="D1005" s="8">
        <v>1.1100000000000001</v>
      </c>
      <c r="E1005" s="4">
        <v>6</v>
      </c>
      <c r="F1005" s="8">
        <v>1.18</v>
      </c>
      <c r="G1005" s="4">
        <v>6</v>
      </c>
      <c r="H1005" s="8">
        <v>1.08</v>
      </c>
      <c r="I1005" s="4">
        <v>0</v>
      </c>
    </row>
    <row r="1006" spans="1:9" x14ac:dyDescent="0.2">
      <c r="A1006" s="1"/>
      <c r="C1006" s="4"/>
      <c r="D1006" s="8"/>
      <c r="E1006" s="4"/>
      <c r="F1006" s="8"/>
      <c r="G1006" s="4"/>
      <c r="H1006" s="8"/>
      <c r="I1006" s="4"/>
    </row>
    <row r="1007" spans="1:9" x14ac:dyDescent="0.2">
      <c r="A1007" s="1" t="s">
        <v>45</v>
      </c>
      <c r="C1007" s="4"/>
      <c r="D1007" s="8"/>
      <c r="E1007" s="4"/>
      <c r="F1007" s="8"/>
      <c r="G1007" s="4"/>
      <c r="H1007" s="8"/>
      <c r="I1007" s="4"/>
    </row>
    <row r="1008" spans="1:9" x14ac:dyDescent="0.2">
      <c r="A1008" s="2">
        <v>1</v>
      </c>
      <c r="B1008" s="1" t="s">
        <v>100</v>
      </c>
      <c r="C1008" s="4">
        <v>203</v>
      </c>
      <c r="D1008" s="8">
        <v>11.09</v>
      </c>
      <c r="E1008" s="4">
        <v>62</v>
      </c>
      <c r="F1008" s="8">
        <v>8.67</v>
      </c>
      <c r="G1008" s="4">
        <v>140</v>
      </c>
      <c r="H1008" s="8">
        <v>12.64</v>
      </c>
      <c r="I1008" s="4">
        <v>1</v>
      </c>
    </row>
    <row r="1009" spans="1:9" x14ac:dyDescent="0.2">
      <c r="A1009" s="2">
        <v>2</v>
      </c>
      <c r="B1009" s="1" t="s">
        <v>104</v>
      </c>
      <c r="C1009" s="4">
        <v>163</v>
      </c>
      <c r="D1009" s="8">
        <v>8.9</v>
      </c>
      <c r="E1009" s="4">
        <v>110</v>
      </c>
      <c r="F1009" s="8">
        <v>15.38</v>
      </c>
      <c r="G1009" s="4">
        <v>53</v>
      </c>
      <c r="H1009" s="8">
        <v>4.78</v>
      </c>
      <c r="I1009" s="4">
        <v>0</v>
      </c>
    </row>
    <row r="1010" spans="1:9" x14ac:dyDescent="0.2">
      <c r="A1010" s="2">
        <v>3</v>
      </c>
      <c r="B1010" s="1" t="s">
        <v>89</v>
      </c>
      <c r="C1010" s="4">
        <v>152</v>
      </c>
      <c r="D1010" s="8">
        <v>8.3000000000000007</v>
      </c>
      <c r="E1010" s="4">
        <v>33</v>
      </c>
      <c r="F1010" s="8">
        <v>4.62</v>
      </c>
      <c r="G1010" s="4">
        <v>119</v>
      </c>
      <c r="H1010" s="8">
        <v>10.74</v>
      </c>
      <c r="I1010" s="4">
        <v>0</v>
      </c>
    </row>
    <row r="1011" spans="1:9" x14ac:dyDescent="0.2">
      <c r="A1011" s="2">
        <v>4</v>
      </c>
      <c r="B1011" s="1" t="s">
        <v>103</v>
      </c>
      <c r="C1011" s="4">
        <v>130</v>
      </c>
      <c r="D1011" s="8">
        <v>7.1</v>
      </c>
      <c r="E1011" s="4">
        <v>102</v>
      </c>
      <c r="F1011" s="8">
        <v>14.27</v>
      </c>
      <c r="G1011" s="4">
        <v>28</v>
      </c>
      <c r="H1011" s="8">
        <v>2.5299999999999998</v>
      </c>
      <c r="I1011" s="4">
        <v>0</v>
      </c>
    </row>
    <row r="1012" spans="1:9" x14ac:dyDescent="0.2">
      <c r="A1012" s="2">
        <v>5</v>
      </c>
      <c r="B1012" s="1" t="s">
        <v>88</v>
      </c>
      <c r="C1012" s="4">
        <v>113</v>
      </c>
      <c r="D1012" s="8">
        <v>6.17</v>
      </c>
      <c r="E1012" s="4">
        <v>24</v>
      </c>
      <c r="F1012" s="8">
        <v>3.36</v>
      </c>
      <c r="G1012" s="4">
        <v>89</v>
      </c>
      <c r="H1012" s="8">
        <v>8.0299999999999994</v>
      </c>
      <c r="I1012" s="4">
        <v>0</v>
      </c>
    </row>
    <row r="1013" spans="1:9" x14ac:dyDescent="0.2">
      <c r="A1013" s="2">
        <v>6</v>
      </c>
      <c r="B1013" s="1" t="s">
        <v>90</v>
      </c>
      <c r="C1013" s="4">
        <v>111</v>
      </c>
      <c r="D1013" s="8">
        <v>6.06</v>
      </c>
      <c r="E1013" s="4">
        <v>23</v>
      </c>
      <c r="F1013" s="8">
        <v>3.22</v>
      </c>
      <c r="G1013" s="4">
        <v>88</v>
      </c>
      <c r="H1013" s="8">
        <v>7.94</v>
      </c>
      <c r="I1013" s="4">
        <v>0</v>
      </c>
    </row>
    <row r="1014" spans="1:9" x14ac:dyDescent="0.2">
      <c r="A1014" s="2">
        <v>7</v>
      </c>
      <c r="B1014" s="1" t="s">
        <v>105</v>
      </c>
      <c r="C1014" s="4">
        <v>100</v>
      </c>
      <c r="D1014" s="8">
        <v>5.46</v>
      </c>
      <c r="E1014" s="4">
        <v>69</v>
      </c>
      <c r="F1014" s="8">
        <v>9.65</v>
      </c>
      <c r="G1014" s="4">
        <v>29</v>
      </c>
      <c r="H1014" s="8">
        <v>2.62</v>
      </c>
      <c r="I1014" s="4">
        <v>0</v>
      </c>
    </row>
    <row r="1015" spans="1:9" x14ac:dyDescent="0.2">
      <c r="A1015" s="2">
        <v>8</v>
      </c>
      <c r="B1015" s="1" t="s">
        <v>98</v>
      </c>
      <c r="C1015" s="4">
        <v>90</v>
      </c>
      <c r="D1015" s="8">
        <v>4.92</v>
      </c>
      <c r="E1015" s="4">
        <v>35</v>
      </c>
      <c r="F1015" s="8">
        <v>4.9000000000000004</v>
      </c>
      <c r="G1015" s="4">
        <v>55</v>
      </c>
      <c r="H1015" s="8">
        <v>4.96</v>
      </c>
      <c r="I1015" s="4">
        <v>0</v>
      </c>
    </row>
    <row r="1016" spans="1:9" x14ac:dyDescent="0.2">
      <c r="A1016" s="2">
        <v>9</v>
      </c>
      <c r="B1016" s="1" t="s">
        <v>106</v>
      </c>
      <c r="C1016" s="4">
        <v>81</v>
      </c>
      <c r="D1016" s="8">
        <v>4.42</v>
      </c>
      <c r="E1016" s="4">
        <v>71</v>
      </c>
      <c r="F1016" s="8">
        <v>9.93</v>
      </c>
      <c r="G1016" s="4">
        <v>10</v>
      </c>
      <c r="H1016" s="8">
        <v>0.9</v>
      </c>
      <c r="I1016" s="4">
        <v>0</v>
      </c>
    </row>
    <row r="1017" spans="1:9" x14ac:dyDescent="0.2">
      <c r="A1017" s="2">
        <v>10</v>
      </c>
      <c r="B1017" s="1" t="s">
        <v>101</v>
      </c>
      <c r="C1017" s="4">
        <v>54</v>
      </c>
      <c r="D1017" s="8">
        <v>2.95</v>
      </c>
      <c r="E1017" s="4">
        <v>30</v>
      </c>
      <c r="F1017" s="8">
        <v>4.2</v>
      </c>
      <c r="G1017" s="4">
        <v>24</v>
      </c>
      <c r="H1017" s="8">
        <v>2.17</v>
      </c>
      <c r="I1017" s="4">
        <v>0</v>
      </c>
    </row>
    <row r="1018" spans="1:9" x14ac:dyDescent="0.2">
      <c r="A1018" s="2">
        <v>11</v>
      </c>
      <c r="B1018" s="1" t="s">
        <v>102</v>
      </c>
      <c r="C1018" s="4">
        <v>51</v>
      </c>
      <c r="D1018" s="8">
        <v>2.79</v>
      </c>
      <c r="E1018" s="4">
        <v>19</v>
      </c>
      <c r="F1018" s="8">
        <v>2.66</v>
      </c>
      <c r="G1018" s="4">
        <v>31</v>
      </c>
      <c r="H1018" s="8">
        <v>2.8</v>
      </c>
      <c r="I1018" s="4">
        <v>0</v>
      </c>
    </row>
    <row r="1019" spans="1:9" x14ac:dyDescent="0.2">
      <c r="A1019" s="2">
        <v>12</v>
      </c>
      <c r="B1019" s="1" t="s">
        <v>96</v>
      </c>
      <c r="C1019" s="4">
        <v>47</v>
      </c>
      <c r="D1019" s="8">
        <v>2.57</v>
      </c>
      <c r="E1019" s="4">
        <v>36</v>
      </c>
      <c r="F1019" s="8">
        <v>5.03</v>
      </c>
      <c r="G1019" s="4">
        <v>11</v>
      </c>
      <c r="H1019" s="8">
        <v>0.99</v>
      </c>
      <c r="I1019" s="4">
        <v>0</v>
      </c>
    </row>
    <row r="1020" spans="1:9" x14ac:dyDescent="0.2">
      <c r="A1020" s="2">
        <v>13</v>
      </c>
      <c r="B1020" s="1" t="s">
        <v>132</v>
      </c>
      <c r="C1020" s="4">
        <v>36</v>
      </c>
      <c r="D1020" s="8">
        <v>1.97</v>
      </c>
      <c r="E1020" s="4">
        <v>1</v>
      </c>
      <c r="F1020" s="8">
        <v>0.14000000000000001</v>
      </c>
      <c r="G1020" s="4">
        <v>31</v>
      </c>
      <c r="H1020" s="8">
        <v>2.8</v>
      </c>
      <c r="I1020" s="4">
        <v>0</v>
      </c>
    </row>
    <row r="1021" spans="1:9" x14ac:dyDescent="0.2">
      <c r="A1021" s="2">
        <v>14</v>
      </c>
      <c r="B1021" s="1" t="s">
        <v>97</v>
      </c>
      <c r="C1021" s="4">
        <v>33</v>
      </c>
      <c r="D1021" s="8">
        <v>1.8</v>
      </c>
      <c r="E1021" s="4">
        <v>15</v>
      </c>
      <c r="F1021" s="8">
        <v>2.1</v>
      </c>
      <c r="G1021" s="4">
        <v>18</v>
      </c>
      <c r="H1021" s="8">
        <v>1.62</v>
      </c>
      <c r="I1021" s="4">
        <v>0</v>
      </c>
    </row>
    <row r="1022" spans="1:9" x14ac:dyDescent="0.2">
      <c r="A1022" s="2">
        <v>15</v>
      </c>
      <c r="B1022" s="1" t="s">
        <v>91</v>
      </c>
      <c r="C1022" s="4">
        <v>31</v>
      </c>
      <c r="D1022" s="8">
        <v>1.69</v>
      </c>
      <c r="E1022" s="4">
        <v>0</v>
      </c>
      <c r="F1022" s="8">
        <v>0</v>
      </c>
      <c r="G1022" s="4">
        <v>31</v>
      </c>
      <c r="H1022" s="8">
        <v>2.8</v>
      </c>
      <c r="I1022" s="4">
        <v>0</v>
      </c>
    </row>
    <row r="1023" spans="1:9" x14ac:dyDescent="0.2">
      <c r="A1023" s="2">
        <v>16</v>
      </c>
      <c r="B1023" s="1" t="s">
        <v>95</v>
      </c>
      <c r="C1023" s="4">
        <v>30</v>
      </c>
      <c r="D1023" s="8">
        <v>1.64</v>
      </c>
      <c r="E1023" s="4">
        <v>18</v>
      </c>
      <c r="F1023" s="8">
        <v>2.52</v>
      </c>
      <c r="G1023" s="4">
        <v>12</v>
      </c>
      <c r="H1023" s="8">
        <v>1.08</v>
      </c>
      <c r="I1023" s="4">
        <v>0</v>
      </c>
    </row>
    <row r="1024" spans="1:9" x14ac:dyDescent="0.2">
      <c r="A1024" s="2">
        <v>17</v>
      </c>
      <c r="B1024" s="1" t="s">
        <v>99</v>
      </c>
      <c r="C1024" s="4">
        <v>29</v>
      </c>
      <c r="D1024" s="8">
        <v>1.58</v>
      </c>
      <c r="E1024" s="4">
        <v>2</v>
      </c>
      <c r="F1024" s="8">
        <v>0.28000000000000003</v>
      </c>
      <c r="G1024" s="4">
        <v>27</v>
      </c>
      <c r="H1024" s="8">
        <v>2.44</v>
      </c>
      <c r="I1024" s="4">
        <v>0</v>
      </c>
    </row>
    <row r="1025" spans="1:9" x14ac:dyDescent="0.2">
      <c r="A1025" s="2">
        <v>18</v>
      </c>
      <c r="B1025" s="1" t="s">
        <v>94</v>
      </c>
      <c r="C1025" s="4">
        <v>28</v>
      </c>
      <c r="D1025" s="8">
        <v>1.53</v>
      </c>
      <c r="E1025" s="4">
        <v>2</v>
      </c>
      <c r="F1025" s="8">
        <v>0.28000000000000003</v>
      </c>
      <c r="G1025" s="4">
        <v>26</v>
      </c>
      <c r="H1025" s="8">
        <v>2.35</v>
      </c>
      <c r="I1025" s="4">
        <v>0</v>
      </c>
    </row>
    <row r="1026" spans="1:9" x14ac:dyDescent="0.2">
      <c r="A1026" s="2">
        <v>18</v>
      </c>
      <c r="B1026" s="1" t="s">
        <v>107</v>
      </c>
      <c r="C1026" s="4">
        <v>28</v>
      </c>
      <c r="D1026" s="8">
        <v>1.53</v>
      </c>
      <c r="E1026" s="4">
        <v>1</v>
      </c>
      <c r="F1026" s="8">
        <v>0.14000000000000001</v>
      </c>
      <c r="G1026" s="4">
        <v>27</v>
      </c>
      <c r="H1026" s="8">
        <v>2.44</v>
      </c>
      <c r="I1026" s="4">
        <v>0</v>
      </c>
    </row>
    <row r="1027" spans="1:9" x14ac:dyDescent="0.2">
      <c r="A1027" s="2">
        <v>20</v>
      </c>
      <c r="B1027" s="1" t="s">
        <v>115</v>
      </c>
      <c r="C1027" s="4">
        <v>21</v>
      </c>
      <c r="D1027" s="8">
        <v>1.1499999999999999</v>
      </c>
      <c r="E1027" s="4">
        <v>9</v>
      </c>
      <c r="F1027" s="8">
        <v>1.26</v>
      </c>
      <c r="G1027" s="4">
        <v>12</v>
      </c>
      <c r="H1027" s="8">
        <v>1.08</v>
      </c>
      <c r="I1027" s="4">
        <v>0</v>
      </c>
    </row>
    <row r="1028" spans="1:9" x14ac:dyDescent="0.2">
      <c r="A1028" s="1"/>
      <c r="C1028" s="4"/>
      <c r="D1028" s="8"/>
      <c r="E1028" s="4"/>
      <c r="F1028" s="8"/>
      <c r="G1028" s="4"/>
      <c r="H1028" s="8"/>
      <c r="I1028" s="4"/>
    </row>
    <row r="1029" spans="1:9" x14ac:dyDescent="0.2">
      <c r="A1029" s="1" t="s">
        <v>46</v>
      </c>
      <c r="C1029" s="4"/>
      <c r="D1029" s="8"/>
      <c r="E1029" s="4"/>
      <c r="F1029" s="8"/>
      <c r="G1029" s="4"/>
      <c r="H1029" s="8"/>
      <c r="I1029" s="4"/>
    </row>
    <row r="1030" spans="1:9" x14ac:dyDescent="0.2">
      <c r="A1030" s="2">
        <v>1</v>
      </c>
      <c r="B1030" s="1" t="s">
        <v>89</v>
      </c>
      <c r="C1030" s="4">
        <v>139</v>
      </c>
      <c r="D1030" s="8">
        <v>10.27</v>
      </c>
      <c r="E1030" s="4">
        <v>29</v>
      </c>
      <c r="F1030" s="8">
        <v>5.93</v>
      </c>
      <c r="G1030" s="4">
        <v>110</v>
      </c>
      <c r="H1030" s="8">
        <v>12.87</v>
      </c>
      <c r="I1030" s="4">
        <v>0</v>
      </c>
    </row>
    <row r="1031" spans="1:9" x14ac:dyDescent="0.2">
      <c r="A1031" s="2">
        <v>2</v>
      </c>
      <c r="B1031" s="1" t="s">
        <v>88</v>
      </c>
      <c r="C1031" s="4">
        <v>108</v>
      </c>
      <c r="D1031" s="8">
        <v>7.98</v>
      </c>
      <c r="E1031" s="4">
        <v>17</v>
      </c>
      <c r="F1031" s="8">
        <v>3.48</v>
      </c>
      <c r="G1031" s="4">
        <v>91</v>
      </c>
      <c r="H1031" s="8">
        <v>10.64</v>
      </c>
      <c r="I1031" s="4">
        <v>0</v>
      </c>
    </row>
    <row r="1032" spans="1:9" x14ac:dyDescent="0.2">
      <c r="A1032" s="2">
        <v>3</v>
      </c>
      <c r="B1032" s="1" t="s">
        <v>90</v>
      </c>
      <c r="C1032" s="4">
        <v>105</v>
      </c>
      <c r="D1032" s="8">
        <v>7.75</v>
      </c>
      <c r="E1032" s="4">
        <v>18</v>
      </c>
      <c r="F1032" s="8">
        <v>3.68</v>
      </c>
      <c r="G1032" s="4">
        <v>87</v>
      </c>
      <c r="H1032" s="8">
        <v>10.18</v>
      </c>
      <c r="I1032" s="4">
        <v>0</v>
      </c>
    </row>
    <row r="1033" spans="1:9" x14ac:dyDescent="0.2">
      <c r="A1033" s="2">
        <v>4</v>
      </c>
      <c r="B1033" s="1" t="s">
        <v>103</v>
      </c>
      <c r="C1033" s="4">
        <v>98</v>
      </c>
      <c r="D1033" s="8">
        <v>7.24</v>
      </c>
      <c r="E1033" s="4">
        <v>86</v>
      </c>
      <c r="F1033" s="8">
        <v>17.59</v>
      </c>
      <c r="G1033" s="4">
        <v>12</v>
      </c>
      <c r="H1033" s="8">
        <v>1.4</v>
      </c>
      <c r="I1033" s="4">
        <v>0</v>
      </c>
    </row>
    <row r="1034" spans="1:9" x14ac:dyDescent="0.2">
      <c r="A1034" s="2">
        <v>5</v>
      </c>
      <c r="B1034" s="1" t="s">
        <v>104</v>
      </c>
      <c r="C1034" s="4">
        <v>92</v>
      </c>
      <c r="D1034" s="8">
        <v>6.79</v>
      </c>
      <c r="E1034" s="4">
        <v>74</v>
      </c>
      <c r="F1034" s="8">
        <v>15.13</v>
      </c>
      <c r="G1034" s="4">
        <v>18</v>
      </c>
      <c r="H1034" s="8">
        <v>2.11</v>
      </c>
      <c r="I1034" s="4">
        <v>0</v>
      </c>
    </row>
    <row r="1035" spans="1:9" x14ac:dyDescent="0.2">
      <c r="A1035" s="2">
        <v>6</v>
      </c>
      <c r="B1035" s="1" t="s">
        <v>97</v>
      </c>
      <c r="C1035" s="4">
        <v>66</v>
      </c>
      <c r="D1035" s="8">
        <v>4.87</v>
      </c>
      <c r="E1035" s="4">
        <v>26</v>
      </c>
      <c r="F1035" s="8">
        <v>5.32</v>
      </c>
      <c r="G1035" s="4">
        <v>40</v>
      </c>
      <c r="H1035" s="8">
        <v>4.68</v>
      </c>
      <c r="I1035" s="4">
        <v>0</v>
      </c>
    </row>
    <row r="1036" spans="1:9" x14ac:dyDescent="0.2">
      <c r="A1036" s="2">
        <v>7</v>
      </c>
      <c r="B1036" s="1" t="s">
        <v>100</v>
      </c>
      <c r="C1036" s="4">
        <v>64</v>
      </c>
      <c r="D1036" s="8">
        <v>4.7300000000000004</v>
      </c>
      <c r="E1036" s="4">
        <v>2</v>
      </c>
      <c r="F1036" s="8">
        <v>0.41</v>
      </c>
      <c r="G1036" s="4">
        <v>62</v>
      </c>
      <c r="H1036" s="8">
        <v>7.25</v>
      </c>
      <c r="I1036" s="4">
        <v>0</v>
      </c>
    </row>
    <row r="1037" spans="1:9" x14ac:dyDescent="0.2">
      <c r="A1037" s="2">
        <v>8</v>
      </c>
      <c r="B1037" s="1" t="s">
        <v>98</v>
      </c>
      <c r="C1037" s="4">
        <v>51</v>
      </c>
      <c r="D1037" s="8">
        <v>3.77</v>
      </c>
      <c r="E1037" s="4">
        <v>18</v>
      </c>
      <c r="F1037" s="8">
        <v>3.68</v>
      </c>
      <c r="G1037" s="4">
        <v>33</v>
      </c>
      <c r="H1037" s="8">
        <v>3.86</v>
      </c>
      <c r="I1037" s="4">
        <v>0</v>
      </c>
    </row>
    <row r="1038" spans="1:9" x14ac:dyDescent="0.2">
      <c r="A1038" s="2">
        <v>9</v>
      </c>
      <c r="B1038" s="1" t="s">
        <v>96</v>
      </c>
      <c r="C1038" s="4">
        <v>44</v>
      </c>
      <c r="D1038" s="8">
        <v>3.25</v>
      </c>
      <c r="E1038" s="4">
        <v>31</v>
      </c>
      <c r="F1038" s="8">
        <v>6.34</v>
      </c>
      <c r="G1038" s="4">
        <v>13</v>
      </c>
      <c r="H1038" s="8">
        <v>1.52</v>
      </c>
      <c r="I1038" s="4">
        <v>0</v>
      </c>
    </row>
    <row r="1039" spans="1:9" x14ac:dyDescent="0.2">
      <c r="A1039" s="2">
        <v>10</v>
      </c>
      <c r="B1039" s="1" t="s">
        <v>105</v>
      </c>
      <c r="C1039" s="4">
        <v>43</v>
      </c>
      <c r="D1039" s="8">
        <v>3.18</v>
      </c>
      <c r="E1039" s="4">
        <v>34</v>
      </c>
      <c r="F1039" s="8">
        <v>6.95</v>
      </c>
      <c r="G1039" s="4">
        <v>6</v>
      </c>
      <c r="H1039" s="8">
        <v>0.7</v>
      </c>
      <c r="I1039" s="4">
        <v>1</v>
      </c>
    </row>
    <row r="1040" spans="1:9" x14ac:dyDescent="0.2">
      <c r="A1040" s="2">
        <v>11</v>
      </c>
      <c r="B1040" s="1" t="s">
        <v>106</v>
      </c>
      <c r="C1040" s="4">
        <v>38</v>
      </c>
      <c r="D1040" s="8">
        <v>2.81</v>
      </c>
      <c r="E1040" s="4">
        <v>37</v>
      </c>
      <c r="F1040" s="8">
        <v>7.57</v>
      </c>
      <c r="G1040" s="4">
        <v>1</v>
      </c>
      <c r="H1040" s="8">
        <v>0.12</v>
      </c>
      <c r="I1040" s="4">
        <v>0</v>
      </c>
    </row>
    <row r="1041" spans="1:9" x14ac:dyDescent="0.2">
      <c r="A1041" s="2">
        <v>12</v>
      </c>
      <c r="B1041" s="1" t="s">
        <v>95</v>
      </c>
      <c r="C1041" s="4">
        <v>35</v>
      </c>
      <c r="D1041" s="8">
        <v>2.58</v>
      </c>
      <c r="E1041" s="4">
        <v>14</v>
      </c>
      <c r="F1041" s="8">
        <v>2.86</v>
      </c>
      <c r="G1041" s="4">
        <v>21</v>
      </c>
      <c r="H1041" s="8">
        <v>2.46</v>
      </c>
      <c r="I1041" s="4">
        <v>0</v>
      </c>
    </row>
    <row r="1042" spans="1:9" x14ac:dyDescent="0.2">
      <c r="A1042" s="2">
        <v>13</v>
      </c>
      <c r="B1042" s="1" t="s">
        <v>121</v>
      </c>
      <c r="C1042" s="4">
        <v>31</v>
      </c>
      <c r="D1042" s="8">
        <v>2.29</v>
      </c>
      <c r="E1042" s="4">
        <v>1</v>
      </c>
      <c r="F1042" s="8">
        <v>0.2</v>
      </c>
      <c r="G1042" s="4">
        <v>30</v>
      </c>
      <c r="H1042" s="8">
        <v>3.51</v>
      </c>
      <c r="I1042" s="4">
        <v>0</v>
      </c>
    </row>
    <row r="1043" spans="1:9" x14ac:dyDescent="0.2">
      <c r="A1043" s="2">
        <v>14</v>
      </c>
      <c r="B1043" s="1" t="s">
        <v>119</v>
      </c>
      <c r="C1043" s="4">
        <v>29</v>
      </c>
      <c r="D1043" s="8">
        <v>2.14</v>
      </c>
      <c r="E1043" s="4">
        <v>2</v>
      </c>
      <c r="F1043" s="8">
        <v>0.41</v>
      </c>
      <c r="G1043" s="4">
        <v>27</v>
      </c>
      <c r="H1043" s="8">
        <v>3.16</v>
      </c>
      <c r="I1043" s="4">
        <v>0</v>
      </c>
    </row>
    <row r="1044" spans="1:9" x14ac:dyDescent="0.2">
      <c r="A1044" s="2">
        <v>14</v>
      </c>
      <c r="B1044" s="1" t="s">
        <v>101</v>
      </c>
      <c r="C1044" s="4">
        <v>29</v>
      </c>
      <c r="D1044" s="8">
        <v>2.14</v>
      </c>
      <c r="E1044" s="4">
        <v>17</v>
      </c>
      <c r="F1044" s="8">
        <v>3.48</v>
      </c>
      <c r="G1044" s="4">
        <v>12</v>
      </c>
      <c r="H1044" s="8">
        <v>1.4</v>
      </c>
      <c r="I1044" s="4">
        <v>0</v>
      </c>
    </row>
    <row r="1045" spans="1:9" x14ac:dyDescent="0.2">
      <c r="A1045" s="2">
        <v>14</v>
      </c>
      <c r="B1045" s="1" t="s">
        <v>102</v>
      </c>
      <c r="C1045" s="4">
        <v>29</v>
      </c>
      <c r="D1045" s="8">
        <v>2.14</v>
      </c>
      <c r="E1045" s="4">
        <v>9</v>
      </c>
      <c r="F1045" s="8">
        <v>1.84</v>
      </c>
      <c r="G1045" s="4">
        <v>20</v>
      </c>
      <c r="H1045" s="8">
        <v>2.34</v>
      </c>
      <c r="I1045" s="4">
        <v>0</v>
      </c>
    </row>
    <row r="1046" spans="1:9" x14ac:dyDescent="0.2">
      <c r="A1046" s="2">
        <v>17</v>
      </c>
      <c r="B1046" s="1" t="s">
        <v>133</v>
      </c>
      <c r="C1046" s="4">
        <v>24</v>
      </c>
      <c r="D1046" s="8">
        <v>1.77</v>
      </c>
      <c r="E1046" s="4">
        <v>14</v>
      </c>
      <c r="F1046" s="8">
        <v>2.86</v>
      </c>
      <c r="G1046" s="4">
        <v>10</v>
      </c>
      <c r="H1046" s="8">
        <v>1.17</v>
      </c>
      <c r="I1046" s="4">
        <v>0</v>
      </c>
    </row>
    <row r="1047" spans="1:9" x14ac:dyDescent="0.2">
      <c r="A1047" s="2">
        <v>18</v>
      </c>
      <c r="B1047" s="1" t="s">
        <v>99</v>
      </c>
      <c r="C1047" s="4">
        <v>21</v>
      </c>
      <c r="D1047" s="8">
        <v>1.55</v>
      </c>
      <c r="E1047" s="4">
        <v>0</v>
      </c>
      <c r="F1047" s="8">
        <v>0</v>
      </c>
      <c r="G1047" s="4">
        <v>21</v>
      </c>
      <c r="H1047" s="8">
        <v>2.46</v>
      </c>
      <c r="I1047" s="4">
        <v>0</v>
      </c>
    </row>
    <row r="1048" spans="1:9" x14ac:dyDescent="0.2">
      <c r="A1048" s="2">
        <v>19</v>
      </c>
      <c r="B1048" s="1" t="s">
        <v>93</v>
      </c>
      <c r="C1048" s="4">
        <v>17</v>
      </c>
      <c r="D1048" s="8">
        <v>1.26</v>
      </c>
      <c r="E1048" s="4">
        <v>2</v>
      </c>
      <c r="F1048" s="8">
        <v>0.41</v>
      </c>
      <c r="G1048" s="4">
        <v>15</v>
      </c>
      <c r="H1048" s="8">
        <v>1.75</v>
      </c>
      <c r="I1048" s="4">
        <v>0</v>
      </c>
    </row>
    <row r="1049" spans="1:9" x14ac:dyDescent="0.2">
      <c r="A1049" s="2">
        <v>20</v>
      </c>
      <c r="B1049" s="1" t="s">
        <v>134</v>
      </c>
      <c r="C1049" s="4">
        <v>16</v>
      </c>
      <c r="D1049" s="8">
        <v>1.18</v>
      </c>
      <c r="E1049" s="4">
        <v>2</v>
      </c>
      <c r="F1049" s="8">
        <v>0.41</v>
      </c>
      <c r="G1049" s="4">
        <v>14</v>
      </c>
      <c r="H1049" s="8">
        <v>1.64</v>
      </c>
      <c r="I1049" s="4">
        <v>0</v>
      </c>
    </row>
    <row r="1050" spans="1:9" x14ac:dyDescent="0.2">
      <c r="A1050" s="2">
        <v>20</v>
      </c>
      <c r="B1050" s="1" t="s">
        <v>110</v>
      </c>
      <c r="C1050" s="4">
        <v>16</v>
      </c>
      <c r="D1050" s="8">
        <v>1.18</v>
      </c>
      <c r="E1050" s="4">
        <v>2</v>
      </c>
      <c r="F1050" s="8">
        <v>0.41</v>
      </c>
      <c r="G1050" s="4">
        <v>14</v>
      </c>
      <c r="H1050" s="8">
        <v>1.64</v>
      </c>
      <c r="I1050" s="4">
        <v>0</v>
      </c>
    </row>
    <row r="1051" spans="1:9" x14ac:dyDescent="0.2">
      <c r="A1051" s="2">
        <v>20</v>
      </c>
      <c r="B1051" s="1" t="s">
        <v>115</v>
      </c>
      <c r="C1051" s="4">
        <v>16</v>
      </c>
      <c r="D1051" s="8">
        <v>1.18</v>
      </c>
      <c r="E1051" s="4">
        <v>5</v>
      </c>
      <c r="F1051" s="8">
        <v>1.02</v>
      </c>
      <c r="G1051" s="4">
        <v>11</v>
      </c>
      <c r="H1051" s="8">
        <v>1.29</v>
      </c>
      <c r="I1051" s="4">
        <v>0</v>
      </c>
    </row>
    <row r="1052" spans="1:9" x14ac:dyDescent="0.2">
      <c r="A1052" s="1"/>
      <c r="C1052" s="4"/>
      <c r="D1052" s="8"/>
      <c r="E1052" s="4"/>
      <c r="F1052" s="8"/>
      <c r="G1052" s="4"/>
      <c r="H1052" s="8"/>
      <c r="I1052" s="4"/>
    </row>
    <row r="1053" spans="1:9" x14ac:dyDescent="0.2">
      <c r="A1053" s="1" t="s">
        <v>47</v>
      </c>
      <c r="C1053" s="4"/>
      <c r="D1053" s="8"/>
      <c r="E1053" s="4"/>
      <c r="F1053" s="8"/>
      <c r="G1053" s="4"/>
      <c r="H1053" s="8"/>
      <c r="I1053" s="4"/>
    </row>
    <row r="1054" spans="1:9" x14ac:dyDescent="0.2">
      <c r="A1054" s="2">
        <v>1</v>
      </c>
      <c r="B1054" s="1" t="s">
        <v>104</v>
      </c>
      <c r="C1054" s="4">
        <v>180</v>
      </c>
      <c r="D1054" s="8">
        <v>10.51</v>
      </c>
      <c r="E1054" s="4">
        <v>114</v>
      </c>
      <c r="F1054" s="8">
        <v>23.55</v>
      </c>
      <c r="G1054" s="4">
        <v>66</v>
      </c>
      <c r="H1054" s="8">
        <v>5.42</v>
      </c>
      <c r="I1054" s="4">
        <v>0</v>
      </c>
    </row>
    <row r="1055" spans="1:9" x14ac:dyDescent="0.2">
      <c r="A1055" s="2">
        <v>2</v>
      </c>
      <c r="B1055" s="1" t="s">
        <v>100</v>
      </c>
      <c r="C1055" s="4">
        <v>168</v>
      </c>
      <c r="D1055" s="8">
        <v>9.81</v>
      </c>
      <c r="E1055" s="4">
        <v>20</v>
      </c>
      <c r="F1055" s="8">
        <v>4.13</v>
      </c>
      <c r="G1055" s="4">
        <v>148</v>
      </c>
      <c r="H1055" s="8">
        <v>12.15</v>
      </c>
      <c r="I1055" s="4">
        <v>0</v>
      </c>
    </row>
    <row r="1056" spans="1:9" x14ac:dyDescent="0.2">
      <c r="A1056" s="2">
        <v>3</v>
      </c>
      <c r="B1056" s="1" t="s">
        <v>103</v>
      </c>
      <c r="C1056" s="4">
        <v>108</v>
      </c>
      <c r="D1056" s="8">
        <v>6.3</v>
      </c>
      <c r="E1056" s="4">
        <v>79</v>
      </c>
      <c r="F1056" s="8">
        <v>16.32</v>
      </c>
      <c r="G1056" s="4">
        <v>29</v>
      </c>
      <c r="H1056" s="8">
        <v>2.38</v>
      </c>
      <c r="I1056" s="4">
        <v>0</v>
      </c>
    </row>
    <row r="1057" spans="1:9" x14ac:dyDescent="0.2">
      <c r="A1057" s="2">
        <v>4</v>
      </c>
      <c r="B1057" s="1" t="s">
        <v>101</v>
      </c>
      <c r="C1057" s="4">
        <v>104</v>
      </c>
      <c r="D1057" s="8">
        <v>6.07</v>
      </c>
      <c r="E1057" s="4">
        <v>53</v>
      </c>
      <c r="F1057" s="8">
        <v>10.95</v>
      </c>
      <c r="G1057" s="4">
        <v>51</v>
      </c>
      <c r="H1057" s="8">
        <v>4.1900000000000004</v>
      </c>
      <c r="I1057" s="4">
        <v>0</v>
      </c>
    </row>
    <row r="1058" spans="1:9" x14ac:dyDescent="0.2">
      <c r="A1058" s="2">
        <v>5</v>
      </c>
      <c r="B1058" s="1" t="s">
        <v>98</v>
      </c>
      <c r="C1058" s="4">
        <v>93</v>
      </c>
      <c r="D1058" s="8">
        <v>5.43</v>
      </c>
      <c r="E1058" s="4">
        <v>21</v>
      </c>
      <c r="F1058" s="8">
        <v>4.34</v>
      </c>
      <c r="G1058" s="4">
        <v>72</v>
      </c>
      <c r="H1058" s="8">
        <v>5.91</v>
      </c>
      <c r="I1058" s="4">
        <v>0</v>
      </c>
    </row>
    <row r="1059" spans="1:9" x14ac:dyDescent="0.2">
      <c r="A1059" s="2">
        <v>6</v>
      </c>
      <c r="B1059" s="1" t="s">
        <v>106</v>
      </c>
      <c r="C1059" s="4">
        <v>71</v>
      </c>
      <c r="D1059" s="8">
        <v>4.1399999999999997</v>
      </c>
      <c r="E1059" s="4">
        <v>58</v>
      </c>
      <c r="F1059" s="8">
        <v>11.98</v>
      </c>
      <c r="G1059" s="4">
        <v>13</v>
      </c>
      <c r="H1059" s="8">
        <v>1.07</v>
      </c>
      <c r="I1059" s="4">
        <v>0</v>
      </c>
    </row>
    <row r="1060" spans="1:9" x14ac:dyDescent="0.2">
      <c r="A1060" s="2">
        <v>7</v>
      </c>
      <c r="B1060" s="1" t="s">
        <v>102</v>
      </c>
      <c r="C1060" s="4">
        <v>69</v>
      </c>
      <c r="D1060" s="8">
        <v>4.03</v>
      </c>
      <c r="E1060" s="4">
        <v>15</v>
      </c>
      <c r="F1060" s="8">
        <v>3.1</v>
      </c>
      <c r="G1060" s="4">
        <v>53</v>
      </c>
      <c r="H1060" s="8">
        <v>4.3499999999999996</v>
      </c>
      <c r="I1060" s="4">
        <v>0</v>
      </c>
    </row>
    <row r="1061" spans="1:9" x14ac:dyDescent="0.2">
      <c r="A1061" s="2">
        <v>8</v>
      </c>
      <c r="B1061" s="1" t="s">
        <v>105</v>
      </c>
      <c r="C1061" s="4">
        <v>68</v>
      </c>
      <c r="D1061" s="8">
        <v>3.97</v>
      </c>
      <c r="E1061" s="4">
        <v>35</v>
      </c>
      <c r="F1061" s="8">
        <v>7.23</v>
      </c>
      <c r="G1061" s="4">
        <v>29</v>
      </c>
      <c r="H1061" s="8">
        <v>2.38</v>
      </c>
      <c r="I1061" s="4">
        <v>0</v>
      </c>
    </row>
    <row r="1062" spans="1:9" x14ac:dyDescent="0.2">
      <c r="A1062" s="2">
        <v>9</v>
      </c>
      <c r="B1062" s="1" t="s">
        <v>88</v>
      </c>
      <c r="C1062" s="4">
        <v>64</v>
      </c>
      <c r="D1062" s="8">
        <v>3.74</v>
      </c>
      <c r="E1062" s="4">
        <v>5</v>
      </c>
      <c r="F1062" s="8">
        <v>1.03</v>
      </c>
      <c r="G1062" s="4">
        <v>59</v>
      </c>
      <c r="H1062" s="8">
        <v>4.84</v>
      </c>
      <c r="I1062" s="4">
        <v>0</v>
      </c>
    </row>
    <row r="1063" spans="1:9" x14ac:dyDescent="0.2">
      <c r="A1063" s="2">
        <v>10</v>
      </c>
      <c r="B1063" s="1" t="s">
        <v>89</v>
      </c>
      <c r="C1063" s="4">
        <v>54</v>
      </c>
      <c r="D1063" s="8">
        <v>3.15</v>
      </c>
      <c r="E1063" s="4">
        <v>4</v>
      </c>
      <c r="F1063" s="8">
        <v>0.83</v>
      </c>
      <c r="G1063" s="4">
        <v>50</v>
      </c>
      <c r="H1063" s="8">
        <v>4.1100000000000003</v>
      </c>
      <c r="I1063" s="4">
        <v>0</v>
      </c>
    </row>
    <row r="1064" spans="1:9" x14ac:dyDescent="0.2">
      <c r="A1064" s="2">
        <v>11</v>
      </c>
      <c r="B1064" s="1" t="s">
        <v>95</v>
      </c>
      <c r="C1064" s="4">
        <v>53</v>
      </c>
      <c r="D1064" s="8">
        <v>3.09</v>
      </c>
      <c r="E1064" s="4">
        <v>8</v>
      </c>
      <c r="F1064" s="8">
        <v>1.65</v>
      </c>
      <c r="G1064" s="4">
        <v>45</v>
      </c>
      <c r="H1064" s="8">
        <v>3.69</v>
      </c>
      <c r="I1064" s="4">
        <v>0</v>
      </c>
    </row>
    <row r="1065" spans="1:9" x14ac:dyDescent="0.2">
      <c r="A1065" s="2">
        <v>12</v>
      </c>
      <c r="B1065" s="1" t="s">
        <v>91</v>
      </c>
      <c r="C1065" s="4">
        <v>52</v>
      </c>
      <c r="D1065" s="8">
        <v>3.04</v>
      </c>
      <c r="E1065" s="4">
        <v>2</v>
      </c>
      <c r="F1065" s="8">
        <v>0.41</v>
      </c>
      <c r="G1065" s="4">
        <v>50</v>
      </c>
      <c r="H1065" s="8">
        <v>4.1100000000000003</v>
      </c>
      <c r="I1065" s="4">
        <v>0</v>
      </c>
    </row>
    <row r="1066" spans="1:9" x14ac:dyDescent="0.2">
      <c r="A1066" s="2">
        <v>13</v>
      </c>
      <c r="B1066" s="1" t="s">
        <v>96</v>
      </c>
      <c r="C1066" s="4">
        <v>48</v>
      </c>
      <c r="D1066" s="8">
        <v>2.8</v>
      </c>
      <c r="E1066" s="4">
        <v>24</v>
      </c>
      <c r="F1066" s="8">
        <v>4.96</v>
      </c>
      <c r="G1066" s="4">
        <v>24</v>
      </c>
      <c r="H1066" s="8">
        <v>1.97</v>
      </c>
      <c r="I1066" s="4">
        <v>0</v>
      </c>
    </row>
    <row r="1067" spans="1:9" x14ac:dyDescent="0.2">
      <c r="A1067" s="2">
        <v>13</v>
      </c>
      <c r="B1067" s="1" t="s">
        <v>107</v>
      </c>
      <c r="C1067" s="4">
        <v>48</v>
      </c>
      <c r="D1067" s="8">
        <v>2.8</v>
      </c>
      <c r="E1067" s="4">
        <v>2</v>
      </c>
      <c r="F1067" s="8">
        <v>0.41</v>
      </c>
      <c r="G1067" s="4">
        <v>44</v>
      </c>
      <c r="H1067" s="8">
        <v>3.61</v>
      </c>
      <c r="I1067" s="4">
        <v>2</v>
      </c>
    </row>
    <row r="1068" spans="1:9" x14ac:dyDescent="0.2">
      <c r="A1068" s="2">
        <v>15</v>
      </c>
      <c r="B1068" s="1" t="s">
        <v>90</v>
      </c>
      <c r="C1068" s="4">
        <v>47</v>
      </c>
      <c r="D1068" s="8">
        <v>2.74</v>
      </c>
      <c r="E1068" s="4">
        <v>3</v>
      </c>
      <c r="F1068" s="8">
        <v>0.62</v>
      </c>
      <c r="G1068" s="4">
        <v>44</v>
      </c>
      <c r="H1068" s="8">
        <v>3.61</v>
      </c>
      <c r="I1068" s="4">
        <v>0</v>
      </c>
    </row>
    <row r="1069" spans="1:9" x14ac:dyDescent="0.2">
      <c r="A1069" s="2">
        <v>16</v>
      </c>
      <c r="B1069" s="1" t="s">
        <v>132</v>
      </c>
      <c r="C1069" s="4">
        <v>40</v>
      </c>
      <c r="D1069" s="8">
        <v>2.34</v>
      </c>
      <c r="E1069" s="4">
        <v>0</v>
      </c>
      <c r="F1069" s="8">
        <v>0</v>
      </c>
      <c r="G1069" s="4">
        <v>36</v>
      </c>
      <c r="H1069" s="8">
        <v>2.96</v>
      </c>
      <c r="I1069" s="4">
        <v>0</v>
      </c>
    </row>
    <row r="1070" spans="1:9" x14ac:dyDescent="0.2">
      <c r="A1070" s="2">
        <v>17</v>
      </c>
      <c r="B1070" s="1" t="s">
        <v>93</v>
      </c>
      <c r="C1070" s="4">
        <v>33</v>
      </c>
      <c r="D1070" s="8">
        <v>1.93</v>
      </c>
      <c r="E1070" s="4">
        <v>1</v>
      </c>
      <c r="F1070" s="8">
        <v>0.21</v>
      </c>
      <c r="G1070" s="4">
        <v>32</v>
      </c>
      <c r="H1070" s="8">
        <v>2.63</v>
      </c>
      <c r="I1070" s="4">
        <v>0</v>
      </c>
    </row>
    <row r="1071" spans="1:9" x14ac:dyDescent="0.2">
      <c r="A1071" s="2">
        <v>18</v>
      </c>
      <c r="B1071" s="1" t="s">
        <v>97</v>
      </c>
      <c r="C1071" s="4">
        <v>29</v>
      </c>
      <c r="D1071" s="8">
        <v>1.69</v>
      </c>
      <c r="E1071" s="4">
        <v>5</v>
      </c>
      <c r="F1071" s="8">
        <v>1.03</v>
      </c>
      <c r="G1071" s="4">
        <v>24</v>
      </c>
      <c r="H1071" s="8">
        <v>1.97</v>
      </c>
      <c r="I1071" s="4">
        <v>0</v>
      </c>
    </row>
    <row r="1072" spans="1:9" x14ac:dyDescent="0.2">
      <c r="A1072" s="2">
        <v>18</v>
      </c>
      <c r="B1072" s="1" t="s">
        <v>115</v>
      </c>
      <c r="C1072" s="4">
        <v>29</v>
      </c>
      <c r="D1072" s="8">
        <v>1.69</v>
      </c>
      <c r="E1072" s="4">
        <v>6</v>
      </c>
      <c r="F1072" s="8">
        <v>1.24</v>
      </c>
      <c r="G1072" s="4">
        <v>23</v>
      </c>
      <c r="H1072" s="8">
        <v>1.89</v>
      </c>
      <c r="I1072" s="4">
        <v>0</v>
      </c>
    </row>
    <row r="1073" spans="1:9" x14ac:dyDescent="0.2">
      <c r="A1073" s="2">
        <v>20</v>
      </c>
      <c r="B1073" s="1" t="s">
        <v>99</v>
      </c>
      <c r="C1073" s="4">
        <v>26</v>
      </c>
      <c r="D1073" s="8">
        <v>1.52</v>
      </c>
      <c r="E1073" s="4">
        <v>0</v>
      </c>
      <c r="F1073" s="8">
        <v>0</v>
      </c>
      <c r="G1073" s="4">
        <v>26</v>
      </c>
      <c r="H1073" s="8">
        <v>2.13</v>
      </c>
      <c r="I1073" s="4">
        <v>0</v>
      </c>
    </row>
    <row r="1074" spans="1:9" x14ac:dyDescent="0.2">
      <c r="A1074" s="1"/>
      <c r="C1074" s="4"/>
      <c r="D1074" s="8"/>
      <c r="E1074" s="4"/>
      <c r="F1074" s="8"/>
      <c r="G1074" s="4"/>
      <c r="H1074" s="8"/>
      <c r="I1074" s="4"/>
    </row>
    <row r="1075" spans="1:9" x14ac:dyDescent="0.2">
      <c r="A1075" s="1" t="s">
        <v>48</v>
      </c>
      <c r="C1075" s="4"/>
      <c r="D1075" s="8"/>
      <c r="E1075" s="4"/>
      <c r="F1075" s="8"/>
      <c r="G1075" s="4"/>
      <c r="H1075" s="8"/>
      <c r="I1075" s="4"/>
    </row>
    <row r="1076" spans="1:9" x14ac:dyDescent="0.2">
      <c r="A1076" s="2">
        <v>1</v>
      </c>
      <c r="B1076" s="1" t="s">
        <v>100</v>
      </c>
      <c r="C1076" s="4">
        <v>224</v>
      </c>
      <c r="D1076" s="8">
        <v>17</v>
      </c>
      <c r="E1076" s="4">
        <v>141</v>
      </c>
      <c r="F1076" s="8">
        <v>25.97</v>
      </c>
      <c r="G1076" s="4">
        <v>83</v>
      </c>
      <c r="H1076" s="8">
        <v>10.86</v>
      </c>
      <c r="I1076" s="4">
        <v>0</v>
      </c>
    </row>
    <row r="1077" spans="1:9" x14ac:dyDescent="0.2">
      <c r="A1077" s="2">
        <v>2</v>
      </c>
      <c r="B1077" s="1" t="s">
        <v>104</v>
      </c>
      <c r="C1077" s="4">
        <v>98</v>
      </c>
      <c r="D1077" s="8">
        <v>7.44</v>
      </c>
      <c r="E1077" s="4">
        <v>75</v>
      </c>
      <c r="F1077" s="8">
        <v>13.81</v>
      </c>
      <c r="G1077" s="4">
        <v>23</v>
      </c>
      <c r="H1077" s="8">
        <v>3.01</v>
      </c>
      <c r="I1077" s="4">
        <v>0</v>
      </c>
    </row>
    <row r="1078" spans="1:9" x14ac:dyDescent="0.2">
      <c r="A1078" s="2">
        <v>3</v>
      </c>
      <c r="B1078" s="1" t="s">
        <v>89</v>
      </c>
      <c r="C1078" s="4">
        <v>93</v>
      </c>
      <c r="D1078" s="8">
        <v>7.06</v>
      </c>
      <c r="E1078" s="4">
        <v>28</v>
      </c>
      <c r="F1078" s="8">
        <v>5.16</v>
      </c>
      <c r="G1078" s="4">
        <v>65</v>
      </c>
      <c r="H1078" s="8">
        <v>8.51</v>
      </c>
      <c r="I1078" s="4">
        <v>0</v>
      </c>
    </row>
    <row r="1079" spans="1:9" x14ac:dyDescent="0.2">
      <c r="A1079" s="2">
        <v>4</v>
      </c>
      <c r="B1079" s="1" t="s">
        <v>103</v>
      </c>
      <c r="C1079" s="4">
        <v>88</v>
      </c>
      <c r="D1079" s="8">
        <v>6.68</v>
      </c>
      <c r="E1079" s="4">
        <v>69</v>
      </c>
      <c r="F1079" s="8">
        <v>12.71</v>
      </c>
      <c r="G1079" s="4">
        <v>19</v>
      </c>
      <c r="H1079" s="8">
        <v>2.4900000000000002</v>
      </c>
      <c r="I1079" s="4">
        <v>0</v>
      </c>
    </row>
    <row r="1080" spans="1:9" x14ac:dyDescent="0.2">
      <c r="A1080" s="2">
        <v>5</v>
      </c>
      <c r="B1080" s="1" t="s">
        <v>88</v>
      </c>
      <c r="C1080" s="4">
        <v>69</v>
      </c>
      <c r="D1080" s="8">
        <v>5.24</v>
      </c>
      <c r="E1080" s="4">
        <v>11</v>
      </c>
      <c r="F1080" s="8">
        <v>2.0299999999999998</v>
      </c>
      <c r="G1080" s="4">
        <v>57</v>
      </c>
      <c r="H1080" s="8">
        <v>7.46</v>
      </c>
      <c r="I1080" s="4">
        <v>1</v>
      </c>
    </row>
    <row r="1081" spans="1:9" x14ac:dyDescent="0.2">
      <c r="A1081" s="2">
        <v>6</v>
      </c>
      <c r="B1081" s="1" t="s">
        <v>98</v>
      </c>
      <c r="C1081" s="4">
        <v>59</v>
      </c>
      <c r="D1081" s="8">
        <v>4.4800000000000004</v>
      </c>
      <c r="E1081" s="4">
        <v>27</v>
      </c>
      <c r="F1081" s="8">
        <v>4.97</v>
      </c>
      <c r="G1081" s="4">
        <v>32</v>
      </c>
      <c r="H1081" s="8">
        <v>4.1900000000000004</v>
      </c>
      <c r="I1081" s="4">
        <v>0</v>
      </c>
    </row>
    <row r="1082" spans="1:9" x14ac:dyDescent="0.2">
      <c r="A1082" s="2">
        <v>7</v>
      </c>
      <c r="B1082" s="1" t="s">
        <v>102</v>
      </c>
      <c r="C1082" s="4">
        <v>52</v>
      </c>
      <c r="D1082" s="8">
        <v>3.95</v>
      </c>
      <c r="E1082" s="4">
        <v>12</v>
      </c>
      <c r="F1082" s="8">
        <v>2.21</v>
      </c>
      <c r="G1082" s="4">
        <v>39</v>
      </c>
      <c r="H1082" s="8">
        <v>5.0999999999999996</v>
      </c>
      <c r="I1082" s="4">
        <v>0</v>
      </c>
    </row>
    <row r="1083" spans="1:9" x14ac:dyDescent="0.2">
      <c r="A1083" s="2">
        <v>8</v>
      </c>
      <c r="B1083" s="1" t="s">
        <v>90</v>
      </c>
      <c r="C1083" s="4">
        <v>51</v>
      </c>
      <c r="D1083" s="8">
        <v>3.87</v>
      </c>
      <c r="E1083" s="4">
        <v>1</v>
      </c>
      <c r="F1083" s="8">
        <v>0.18</v>
      </c>
      <c r="G1083" s="4">
        <v>50</v>
      </c>
      <c r="H1083" s="8">
        <v>6.54</v>
      </c>
      <c r="I1083" s="4">
        <v>0</v>
      </c>
    </row>
    <row r="1084" spans="1:9" x14ac:dyDescent="0.2">
      <c r="A1084" s="2">
        <v>9</v>
      </c>
      <c r="B1084" s="1" t="s">
        <v>106</v>
      </c>
      <c r="C1084" s="4">
        <v>49</v>
      </c>
      <c r="D1084" s="8">
        <v>3.72</v>
      </c>
      <c r="E1084" s="4">
        <v>37</v>
      </c>
      <c r="F1084" s="8">
        <v>6.81</v>
      </c>
      <c r="G1084" s="4">
        <v>12</v>
      </c>
      <c r="H1084" s="8">
        <v>1.57</v>
      </c>
      <c r="I1084" s="4">
        <v>0</v>
      </c>
    </row>
    <row r="1085" spans="1:9" x14ac:dyDescent="0.2">
      <c r="A1085" s="2">
        <v>10</v>
      </c>
      <c r="B1085" s="1" t="s">
        <v>105</v>
      </c>
      <c r="C1085" s="4">
        <v>43</v>
      </c>
      <c r="D1085" s="8">
        <v>3.26</v>
      </c>
      <c r="E1085" s="4">
        <v>27</v>
      </c>
      <c r="F1085" s="8">
        <v>4.97</v>
      </c>
      <c r="G1085" s="4">
        <v>14</v>
      </c>
      <c r="H1085" s="8">
        <v>1.83</v>
      </c>
      <c r="I1085" s="4">
        <v>0</v>
      </c>
    </row>
    <row r="1086" spans="1:9" x14ac:dyDescent="0.2">
      <c r="A1086" s="2">
        <v>11</v>
      </c>
      <c r="B1086" s="1" t="s">
        <v>101</v>
      </c>
      <c r="C1086" s="4">
        <v>42</v>
      </c>
      <c r="D1086" s="8">
        <v>3.19</v>
      </c>
      <c r="E1086" s="4">
        <v>5</v>
      </c>
      <c r="F1086" s="8">
        <v>0.92</v>
      </c>
      <c r="G1086" s="4">
        <v>37</v>
      </c>
      <c r="H1086" s="8">
        <v>4.84</v>
      </c>
      <c r="I1086" s="4">
        <v>0</v>
      </c>
    </row>
    <row r="1087" spans="1:9" x14ac:dyDescent="0.2">
      <c r="A1087" s="2">
        <v>12</v>
      </c>
      <c r="B1087" s="1" t="s">
        <v>96</v>
      </c>
      <c r="C1087" s="4">
        <v>41</v>
      </c>
      <c r="D1087" s="8">
        <v>3.11</v>
      </c>
      <c r="E1087" s="4">
        <v>23</v>
      </c>
      <c r="F1087" s="8">
        <v>4.24</v>
      </c>
      <c r="G1087" s="4">
        <v>17</v>
      </c>
      <c r="H1087" s="8">
        <v>2.23</v>
      </c>
      <c r="I1087" s="4">
        <v>1</v>
      </c>
    </row>
    <row r="1088" spans="1:9" x14ac:dyDescent="0.2">
      <c r="A1088" s="2">
        <v>13</v>
      </c>
      <c r="B1088" s="1" t="s">
        <v>107</v>
      </c>
      <c r="C1088" s="4">
        <v>27</v>
      </c>
      <c r="D1088" s="8">
        <v>2.0499999999999998</v>
      </c>
      <c r="E1088" s="4">
        <v>0</v>
      </c>
      <c r="F1088" s="8">
        <v>0</v>
      </c>
      <c r="G1088" s="4">
        <v>25</v>
      </c>
      <c r="H1088" s="8">
        <v>3.27</v>
      </c>
      <c r="I1088" s="4">
        <v>2</v>
      </c>
    </row>
    <row r="1089" spans="1:9" x14ac:dyDescent="0.2">
      <c r="A1089" s="2">
        <v>14</v>
      </c>
      <c r="B1089" s="1" t="s">
        <v>115</v>
      </c>
      <c r="C1089" s="4">
        <v>22</v>
      </c>
      <c r="D1089" s="8">
        <v>1.67</v>
      </c>
      <c r="E1089" s="4">
        <v>5</v>
      </c>
      <c r="F1089" s="8">
        <v>0.92</v>
      </c>
      <c r="G1089" s="4">
        <v>16</v>
      </c>
      <c r="H1089" s="8">
        <v>2.09</v>
      </c>
      <c r="I1089" s="4">
        <v>0</v>
      </c>
    </row>
    <row r="1090" spans="1:9" x14ac:dyDescent="0.2">
      <c r="A1090" s="2">
        <v>15</v>
      </c>
      <c r="B1090" s="1" t="s">
        <v>93</v>
      </c>
      <c r="C1090" s="4">
        <v>21</v>
      </c>
      <c r="D1090" s="8">
        <v>1.59</v>
      </c>
      <c r="E1090" s="4">
        <v>1</v>
      </c>
      <c r="F1090" s="8">
        <v>0.18</v>
      </c>
      <c r="G1090" s="4">
        <v>20</v>
      </c>
      <c r="H1090" s="8">
        <v>2.62</v>
      </c>
      <c r="I1090" s="4">
        <v>0</v>
      </c>
    </row>
    <row r="1091" spans="1:9" x14ac:dyDescent="0.2">
      <c r="A1091" s="2">
        <v>15</v>
      </c>
      <c r="B1091" s="1" t="s">
        <v>97</v>
      </c>
      <c r="C1091" s="4">
        <v>21</v>
      </c>
      <c r="D1091" s="8">
        <v>1.59</v>
      </c>
      <c r="E1091" s="4">
        <v>10</v>
      </c>
      <c r="F1091" s="8">
        <v>1.84</v>
      </c>
      <c r="G1091" s="4">
        <v>11</v>
      </c>
      <c r="H1091" s="8">
        <v>1.44</v>
      </c>
      <c r="I1091" s="4">
        <v>0</v>
      </c>
    </row>
    <row r="1092" spans="1:9" x14ac:dyDescent="0.2">
      <c r="A1092" s="2">
        <v>17</v>
      </c>
      <c r="B1092" s="1" t="s">
        <v>94</v>
      </c>
      <c r="C1092" s="4">
        <v>18</v>
      </c>
      <c r="D1092" s="8">
        <v>1.37</v>
      </c>
      <c r="E1092" s="4">
        <v>3</v>
      </c>
      <c r="F1092" s="8">
        <v>0.55000000000000004</v>
      </c>
      <c r="G1092" s="4">
        <v>15</v>
      </c>
      <c r="H1092" s="8">
        <v>1.96</v>
      </c>
      <c r="I1092" s="4">
        <v>0</v>
      </c>
    </row>
    <row r="1093" spans="1:9" x14ac:dyDescent="0.2">
      <c r="A1093" s="2">
        <v>17</v>
      </c>
      <c r="B1093" s="1" t="s">
        <v>99</v>
      </c>
      <c r="C1093" s="4">
        <v>18</v>
      </c>
      <c r="D1093" s="8">
        <v>1.37</v>
      </c>
      <c r="E1093" s="4">
        <v>3</v>
      </c>
      <c r="F1093" s="8">
        <v>0.55000000000000004</v>
      </c>
      <c r="G1093" s="4">
        <v>15</v>
      </c>
      <c r="H1093" s="8">
        <v>1.96</v>
      </c>
      <c r="I1093" s="4">
        <v>0</v>
      </c>
    </row>
    <row r="1094" spans="1:9" x14ac:dyDescent="0.2">
      <c r="A1094" s="2">
        <v>19</v>
      </c>
      <c r="B1094" s="1" t="s">
        <v>91</v>
      </c>
      <c r="C1094" s="4">
        <v>16</v>
      </c>
      <c r="D1094" s="8">
        <v>1.21</v>
      </c>
      <c r="E1094" s="4">
        <v>0</v>
      </c>
      <c r="F1094" s="8">
        <v>0</v>
      </c>
      <c r="G1094" s="4">
        <v>16</v>
      </c>
      <c r="H1094" s="8">
        <v>2.09</v>
      </c>
      <c r="I1094" s="4">
        <v>0</v>
      </c>
    </row>
    <row r="1095" spans="1:9" x14ac:dyDescent="0.2">
      <c r="A1095" s="2">
        <v>19</v>
      </c>
      <c r="B1095" s="1" t="s">
        <v>110</v>
      </c>
      <c r="C1095" s="4">
        <v>16</v>
      </c>
      <c r="D1095" s="8">
        <v>1.21</v>
      </c>
      <c r="E1095" s="4">
        <v>2</v>
      </c>
      <c r="F1095" s="8">
        <v>0.37</v>
      </c>
      <c r="G1095" s="4">
        <v>14</v>
      </c>
      <c r="H1095" s="8">
        <v>1.83</v>
      </c>
      <c r="I1095" s="4">
        <v>0</v>
      </c>
    </row>
    <row r="1096" spans="1:9" x14ac:dyDescent="0.2">
      <c r="A1096" s="1"/>
      <c r="C1096" s="4"/>
      <c r="D1096" s="8"/>
      <c r="E1096" s="4"/>
      <c r="F1096" s="8"/>
      <c r="G1096" s="4"/>
      <c r="H1096" s="8"/>
      <c r="I1096" s="4"/>
    </row>
    <row r="1097" spans="1:9" x14ac:dyDescent="0.2">
      <c r="A1097" s="1" t="s">
        <v>49</v>
      </c>
      <c r="C1097" s="4"/>
      <c r="D1097" s="8"/>
      <c r="E1097" s="4"/>
      <c r="F1097" s="8"/>
      <c r="G1097" s="4"/>
      <c r="H1097" s="8"/>
      <c r="I1097" s="4"/>
    </row>
    <row r="1098" spans="1:9" x14ac:dyDescent="0.2">
      <c r="A1098" s="2">
        <v>1</v>
      </c>
      <c r="B1098" s="1" t="s">
        <v>103</v>
      </c>
      <c r="C1098" s="4">
        <v>196</v>
      </c>
      <c r="D1098" s="8">
        <v>19.18</v>
      </c>
      <c r="E1098" s="4">
        <v>168</v>
      </c>
      <c r="F1098" s="8">
        <v>33.47</v>
      </c>
      <c r="G1098" s="4">
        <v>28</v>
      </c>
      <c r="H1098" s="8">
        <v>5.43</v>
      </c>
      <c r="I1098" s="4">
        <v>0</v>
      </c>
    </row>
    <row r="1099" spans="1:9" x14ac:dyDescent="0.2">
      <c r="A1099" s="2">
        <v>2</v>
      </c>
      <c r="B1099" s="1" t="s">
        <v>104</v>
      </c>
      <c r="C1099" s="4">
        <v>125</v>
      </c>
      <c r="D1099" s="8">
        <v>12.23</v>
      </c>
      <c r="E1099" s="4">
        <v>99</v>
      </c>
      <c r="F1099" s="8">
        <v>19.72</v>
      </c>
      <c r="G1099" s="4">
        <v>26</v>
      </c>
      <c r="H1099" s="8">
        <v>5.04</v>
      </c>
      <c r="I1099" s="4">
        <v>0</v>
      </c>
    </row>
    <row r="1100" spans="1:9" x14ac:dyDescent="0.2">
      <c r="A1100" s="2">
        <v>3</v>
      </c>
      <c r="B1100" s="1" t="s">
        <v>100</v>
      </c>
      <c r="C1100" s="4">
        <v>76</v>
      </c>
      <c r="D1100" s="8">
        <v>7.44</v>
      </c>
      <c r="E1100" s="4">
        <v>8</v>
      </c>
      <c r="F1100" s="8">
        <v>1.59</v>
      </c>
      <c r="G1100" s="4">
        <v>68</v>
      </c>
      <c r="H1100" s="8">
        <v>13.18</v>
      </c>
      <c r="I1100" s="4">
        <v>0</v>
      </c>
    </row>
    <row r="1101" spans="1:9" x14ac:dyDescent="0.2">
      <c r="A1101" s="2">
        <v>4</v>
      </c>
      <c r="B1101" s="1" t="s">
        <v>88</v>
      </c>
      <c r="C1101" s="4">
        <v>50</v>
      </c>
      <c r="D1101" s="8">
        <v>4.8899999999999997</v>
      </c>
      <c r="E1101" s="4">
        <v>8</v>
      </c>
      <c r="F1101" s="8">
        <v>1.59</v>
      </c>
      <c r="G1101" s="4">
        <v>42</v>
      </c>
      <c r="H1101" s="8">
        <v>8.14</v>
      </c>
      <c r="I1101" s="4">
        <v>0</v>
      </c>
    </row>
    <row r="1102" spans="1:9" x14ac:dyDescent="0.2">
      <c r="A1102" s="2">
        <v>5</v>
      </c>
      <c r="B1102" s="1" t="s">
        <v>89</v>
      </c>
      <c r="C1102" s="4">
        <v>46</v>
      </c>
      <c r="D1102" s="8">
        <v>4.5</v>
      </c>
      <c r="E1102" s="4">
        <v>11</v>
      </c>
      <c r="F1102" s="8">
        <v>2.19</v>
      </c>
      <c r="G1102" s="4">
        <v>35</v>
      </c>
      <c r="H1102" s="8">
        <v>6.78</v>
      </c>
      <c r="I1102" s="4">
        <v>0</v>
      </c>
    </row>
    <row r="1103" spans="1:9" x14ac:dyDescent="0.2">
      <c r="A1103" s="2">
        <v>6</v>
      </c>
      <c r="B1103" s="1" t="s">
        <v>105</v>
      </c>
      <c r="C1103" s="4">
        <v>43</v>
      </c>
      <c r="D1103" s="8">
        <v>4.21</v>
      </c>
      <c r="E1103" s="4">
        <v>33</v>
      </c>
      <c r="F1103" s="8">
        <v>6.57</v>
      </c>
      <c r="G1103" s="4">
        <v>10</v>
      </c>
      <c r="H1103" s="8">
        <v>1.94</v>
      </c>
      <c r="I1103" s="4">
        <v>0</v>
      </c>
    </row>
    <row r="1104" spans="1:9" x14ac:dyDescent="0.2">
      <c r="A1104" s="2">
        <v>6</v>
      </c>
      <c r="B1104" s="1" t="s">
        <v>106</v>
      </c>
      <c r="C1104" s="4">
        <v>43</v>
      </c>
      <c r="D1104" s="8">
        <v>4.21</v>
      </c>
      <c r="E1104" s="4">
        <v>38</v>
      </c>
      <c r="F1104" s="8">
        <v>7.57</v>
      </c>
      <c r="G1104" s="4">
        <v>5</v>
      </c>
      <c r="H1104" s="8">
        <v>0.97</v>
      </c>
      <c r="I1104" s="4">
        <v>0</v>
      </c>
    </row>
    <row r="1105" spans="1:9" x14ac:dyDescent="0.2">
      <c r="A1105" s="2">
        <v>8</v>
      </c>
      <c r="B1105" s="1" t="s">
        <v>98</v>
      </c>
      <c r="C1105" s="4">
        <v>42</v>
      </c>
      <c r="D1105" s="8">
        <v>4.1100000000000003</v>
      </c>
      <c r="E1105" s="4">
        <v>15</v>
      </c>
      <c r="F1105" s="8">
        <v>2.99</v>
      </c>
      <c r="G1105" s="4">
        <v>27</v>
      </c>
      <c r="H1105" s="8">
        <v>5.23</v>
      </c>
      <c r="I1105" s="4">
        <v>0</v>
      </c>
    </row>
    <row r="1106" spans="1:9" x14ac:dyDescent="0.2">
      <c r="A1106" s="2">
        <v>9</v>
      </c>
      <c r="B1106" s="1" t="s">
        <v>96</v>
      </c>
      <c r="C1106" s="4">
        <v>32</v>
      </c>
      <c r="D1106" s="8">
        <v>3.13</v>
      </c>
      <c r="E1106" s="4">
        <v>22</v>
      </c>
      <c r="F1106" s="8">
        <v>4.38</v>
      </c>
      <c r="G1106" s="4">
        <v>10</v>
      </c>
      <c r="H1106" s="8">
        <v>1.94</v>
      </c>
      <c r="I1106" s="4">
        <v>0</v>
      </c>
    </row>
    <row r="1107" spans="1:9" x14ac:dyDescent="0.2">
      <c r="A1107" s="2">
        <v>10</v>
      </c>
      <c r="B1107" s="1" t="s">
        <v>97</v>
      </c>
      <c r="C1107" s="4">
        <v>31</v>
      </c>
      <c r="D1107" s="8">
        <v>3.03</v>
      </c>
      <c r="E1107" s="4">
        <v>16</v>
      </c>
      <c r="F1107" s="8">
        <v>3.19</v>
      </c>
      <c r="G1107" s="4">
        <v>15</v>
      </c>
      <c r="H1107" s="8">
        <v>2.91</v>
      </c>
      <c r="I1107" s="4">
        <v>0</v>
      </c>
    </row>
    <row r="1108" spans="1:9" x14ac:dyDescent="0.2">
      <c r="A1108" s="2">
        <v>11</v>
      </c>
      <c r="B1108" s="1" t="s">
        <v>99</v>
      </c>
      <c r="C1108" s="4">
        <v>28</v>
      </c>
      <c r="D1108" s="8">
        <v>2.74</v>
      </c>
      <c r="E1108" s="4">
        <v>0</v>
      </c>
      <c r="F1108" s="8">
        <v>0</v>
      </c>
      <c r="G1108" s="4">
        <v>28</v>
      </c>
      <c r="H1108" s="8">
        <v>5.43</v>
      </c>
      <c r="I1108" s="4">
        <v>0</v>
      </c>
    </row>
    <row r="1109" spans="1:9" x14ac:dyDescent="0.2">
      <c r="A1109" s="2">
        <v>11</v>
      </c>
      <c r="B1109" s="1" t="s">
        <v>101</v>
      </c>
      <c r="C1109" s="4">
        <v>28</v>
      </c>
      <c r="D1109" s="8">
        <v>2.74</v>
      </c>
      <c r="E1109" s="4">
        <v>18</v>
      </c>
      <c r="F1109" s="8">
        <v>3.59</v>
      </c>
      <c r="G1109" s="4">
        <v>10</v>
      </c>
      <c r="H1109" s="8">
        <v>1.94</v>
      </c>
      <c r="I1109" s="4">
        <v>0</v>
      </c>
    </row>
    <row r="1110" spans="1:9" x14ac:dyDescent="0.2">
      <c r="A1110" s="2">
        <v>13</v>
      </c>
      <c r="B1110" s="1" t="s">
        <v>90</v>
      </c>
      <c r="C1110" s="4">
        <v>24</v>
      </c>
      <c r="D1110" s="8">
        <v>2.35</v>
      </c>
      <c r="E1110" s="4">
        <v>8</v>
      </c>
      <c r="F1110" s="8">
        <v>1.59</v>
      </c>
      <c r="G1110" s="4">
        <v>16</v>
      </c>
      <c r="H1110" s="8">
        <v>3.1</v>
      </c>
      <c r="I1110" s="4">
        <v>0</v>
      </c>
    </row>
    <row r="1111" spans="1:9" x14ac:dyDescent="0.2">
      <c r="A1111" s="2">
        <v>14</v>
      </c>
      <c r="B1111" s="1" t="s">
        <v>102</v>
      </c>
      <c r="C1111" s="4">
        <v>18</v>
      </c>
      <c r="D1111" s="8">
        <v>1.76</v>
      </c>
      <c r="E1111" s="4">
        <v>10</v>
      </c>
      <c r="F1111" s="8">
        <v>1.99</v>
      </c>
      <c r="G1111" s="4">
        <v>8</v>
      </c>
      <c r="H1111" s="8">
        <v>1.55</v>
      </c>
      <c r="I1111" s="4">
        <v>0</v>
      </c>
    </row>
    <row r="1112" spans="1:9" x14ac:dyDescent="0.2">
      <c r="A1112" s="2">
        <v>15</v>
      </c>
      <c r="B1112" s="1" t="s">
        <v>121</v>
      </c>
      <c r="C1112" s="4">
        <v>15</v>
      </c>
      <c r="D1112" s="8">
        <v>1.47</v>
      </c>
      <c r="E1112" s="4">
        <v>2</v>
      </c>
      <c r="F1112" s="8">
        <v>0.4</v>
      </c>
      <c r="G1112" s="4">
        <v>13</v>
      </c>
      <c r="H1112" s="8">
        <v>2.52</v>
      </c>
      <c r="I1112" s="4">
        <v>0</v>
      </c>
    </row>
    <row r="1113" spans="1:9" x14ac:dyDescent="0.2">
      <c r="A1113" s="2">
        <v>15</v>
      </c>
      <c r="B1113" s="1" t="s">
        <v>93</v>
      </c>
      <c r="C1113" s="4">
        <v>15</v>
      </c>
      <c r="D1113" s="8">
        <v>1.47</v>
      </c>
      <c r="E1113" s="4">
        <v>0</v>
      </c>
      <c r="F1113" s="8">
        <v>0</v>
      </c>
      <c r="G1113" s="4">
        <v>15</v>
      </c>
      <c r="H1113" s="8">
        <v>2.91</v>
      </c>
      <c r="I1113" s="4">
        <v>0</v>
      </c>
    </row>
    <row r="1114" spans="1:9" x14ac:dyDescent="0.2">
      <c r="A1114" s="2">
        <v>15</v>
      </c>
      <c r="B1114" s="1" t="s">
        <v>132</v>
      </c>
      <c r="C1114" s="4">
        <v>15</v>
      </c>
      <c r="D1114" s="8">
        <v>1.47</v>
      </c>
      <c r="E1114" s="4">
        <v>1</v>
      </c>
      <c r="F1114" s="8">
        <v>0.2</v>
      </c>
      <c r="G1114" s="4">
        <v>12</v>
      </c>
      <c r="H1114" s="8">
        <v>2.33</v>
      </c>
      <c r="I1114" s="4">
        <v>0</v>
      </c>
    </row>
    <row r="1115" spans="1:9" x14ac:dyDescent="0.2">
      <c r="A1115" s="2">
        <v>18</v>
      </c>
      <c r="B1115" s="1" t="s">
        <v>115</v>
      </c>
      <c r="C1115" s="4">
        <v>12</v>
      </c>
      <c r="D1115" s="8">
        <v>1.17</v>
      </c>
      <c r="E1115" s="4">
        <v>5</v>
      </c>
      <c r="F1115" s="8">
        <v>1</v>
      </c>
      <c r="G1115" s="4">
        <v>7</v>
      </c>
      <c r="H1115" s="8">
        <v>1.36</v>
      </c>
      <c r="I1115" s="4">
        <v>0</v>
      </c>
    </row>
    <row r="1116" spans="1:9" x14ac:dyDescent="0.2">
      <c r="A1116" s="2">
        <v>18</v>
      </c>
      <c r="B1116" s="1" t="s">
        <v>133</v>
      </c>
      <c r="C1116" s="4">
        <v>12</v>
      </c>
      <c r="D1116" s="8">
        <v>1.17</v>
      </c>
      <c r="E1116" s="4">
        <v>7</v>
      </c>
      <c r="F1116" s="8">
        <v>1.39</v>
      </c>
      <c r="G1116" s="4">
        <v>5</v>
      </c>
      <c r="H1116" s="8">
        <v>0.97</v>
      </c>
      <c r="I1116" s="4">
        <v>0</v>
      </c>
    </row>
    <row r="1117" spans="1:9" x14ac:dyDescent="0.2">
      <c r="A1117" s="2">
        <v>20</v>
      </c>
      <c r="B1117" s="1" t="s">
        <v>119</v>
      </c>
      <c r="C1117" s="4">
        <v>10</v>
      </c>
      <c r="D1117" s="8">
        <v>0.98</v>
      </c>
      <c r="E1117" s="4">
        <v>3</v>
      </c>
      <c r="F1117" s="8">
        <v>0.6</v>
      </c>
      <c r="G1117" s="4">
        <v>7</v>
      </c>
      <c r="H1117" s="8">
        <v>1.36</v>
      </c>
      <c r="I1117" s="4">
        <v>0</v>
      </c>
    </row>
    <row r="1118" spans="1:9" x14ac:dyDescent="0.2">
      <c r="A1118" s="2">
        <v>20</v>
      </c>
      <c r="B1118" s="1" t="s">
        <v>91</v>
      </c>
      <c r="C1118" s="4">
        <v>10</v>
      </c>
      <c r="D1118" s="8">
        <v>0.98</v>
      </c>
      <c r="E1118" s="4">
        <v>0</v>
      </c>
      <c r="F1118" s="8">
        <v>0</v>
      </c>
      <c r="G1118" s="4">
        <v>10</v>
      </c>
      <c r="H1118" s="8">
        <v>1.94</v>
      </c>
      <c r="I1118" s="4">
        <v>0</v>
      </c>
    </row>
    <row r="1119" spans="1:9" x14ac:dyDescent="0.2">
      <c r="A1119" s="2">
        <v>20</v>
      </c>
      <c r="B1119" s="1" t="s">
        <v>128</v>
      </c>
      <c r="C1119" s="4">
        <v>10</v>
      </c>
      <c r="D1119" s="8">
        <v>0.98</v>
      </c>
      <c r="E1119" s="4">
        <v>1</v>
      </c>
      <c r="F1119" s="8">
        <v>0.2</v>
      </c>
      <c r="G1119" s="4">
        <v>9</v>
      </c>
      <c r="H1119" s="8">
        <v>1.74</v>
      </c>
      <c r="I1119" s="4">
        <v>0</v>
      </c>
    </row>
    <row r="1120" spans="1:9" x14ac:dyDescent="0.2">
      <c r="A1120" s="2">
        <v>20</v>
      </c>
      <c r="B1120" s="1" t="s">
        <v>110</v>
      </c>
      <c r="C1120" s="4">
        <v>10</v>
      </c>
      <c r="D1120" s="8">
        <v>0.98</v>
      </c>
      <c r="E1120" s="4">
        <v>2</v>
      </c>
      <c r="F1120" s="8">
        <v>0.4</v>
      </c>
      <c r="G1120" s="4">
        <v>8</v>
      </c>
      <c r="H1120" s="8">
        <v>1.55</v>
      </c>
      <c r="I1120" s="4">
        <v>0</v>
      </c>
    </row>
    <row r="1121" spans="1:9" x14ac:dyDescent="0.2">
      <c r="A1121" s="2">
        <v>20</v>
      </c>
      <c r="B1121" s="1" t="s">
        <v>130</v>
      </c>
      <c r="C1121" s="4">
        <v>10</v>
      </c>
      <c r="D1121" s="8">
        <v>0.98</v>
      </c>
      <c r="E1121" s="4">
        <v>2</v>
      </c>
      <c r="F1121" s="8">
        <v>0.4</v>
      </c>
      <c r="G1121" s="4">
        <v>8</v>
      </c>
      <c r="H1121" s="8">
        <v>1.55</v>
      </c>
      <c r="I1121" s="4">
        <v>0</v>
      </c>
    </row>
    <row r="1122" spans="1:9" x14ac:dyDescent="0.2">
      <c r="A1122" s="1"/>
      <c r="C1122" s="4"/>
      <c r="D1122" s="8"/>
      <c r="E1122" s="4"/>
      <c r="F1122" s="8"/>
      <c r="G1122" s="4"/>
      <c r="H1122" s="8"/>
      <c r="I1122" s="4"/>
    </row>
    <row r="1123" spans="1:9" x14ac:dyDescent="0.2">
      <c r="A1123" s="1" t="s">
        <v>50</v>
      </c>
      <c r="C1123" s="4"/>
      <c r="D1123" s="8"/>
      <c r="E1123" s="4"/>
      <c r="F1123" s="8"/>
      <c r="G1123" s="4"/>
      <c r="H1123" s="8"/>
      <c r="I1123" s="4"/>
    </row>
    <row r="1124" spans="1:9" x14ac:dyDescent="0.2">
      <c r="A1124" s="2">
        <v>1</v>
      </c>
      <c r="B1124" s="1" t="s">
        <v>88</v>
      </c>
      <c r="C1124" s="4">
        <v>138</v>
      </c>
      <c r="D1124" s="8">
        <v>10.15</v>
      </c>
      <c r="E1124" s="4">
        <v>50</v>
      </c>
      <c r="F1124" s="8">
        <v>7.5</v>
      </c>
      <c r="G1124" s="4">
        <v>88</v>
      </c>
      <c r="H1124" s="8">
        <v>12.92</v>
      </c>
      <c r="I1124" s="4">
        <v>0</v>
      </c>
    </row>
    <row r="1125" spans="1:9" x14ac:dyDescent="0.2">
      <c r="A1125" s="2">
        <v>2</v>
      </c>
      <c r="B1125" s="1" t="s">
        <v>104</v>
      </c>
      <c r="C1125" s="4">
        <v>133</v>
      </c>
      <c r="D1125" s="8">
        <v>9.7799999999999994</v>
      </c>
      <c r="E1125" s="4">
        <v>120</v>
      </c>
      <c r="F1125" s="8">
        <v>17.989999999999998</v>
      </c>
      <c r="G1125" s="4">
        <v>13</v>
      </c>
      <c r="H1125" s="8">
        <v>1.91</v>
      </c>
      <c r="I1125" s="4">
        <v>0</v>
      </c>
    </row>
    <row r="1126" spans="1:9" x14ac:dyDescent="0.2">
      <c r="A1126" s="2">
        <v>3</v>
      </c>
      <c r="B1126" s="1" t="s">
        <v>89</v>
      </c>
      <c r="C1126" s="4">
        <v>115</v>
      </c>
      <c r="D1126" s="8">
        <v>8.4600000000000009</v>
      </c>
      <c r="E1126" s="4">
        <v>47</v>
      </c>
      <c r="F1126" s="8">
        <v>7.05</v>
      </c>
      <c r="G1126" s="4">
        <v>68</v>
      </c>
      <c r="H1126" s="8">
        <v>9.99</v>
      </c>
      <c r="I1126" s="4">
        <v>0</v>
      </c>
    </row>
    <row r="1127" spans="1:9" x14ac:dyDescent="0.2">
      <c r="A1127" s="2">
        <v>4</v>
      </c>
      <c r="B1127" s="1" t="s">
        <v>103</v>
      </c>
      <c r="C1127" s="4">
        <v>112</v>
      </c>
      <c r="D1127" s="8">
        <v>8.24</v>
      </c>
      <c r="E1127" s="4">
        <v>99</v>
      </c>
      <c r="F1127" s="8">
        <v>14.84</v>
      </c>
      <c r="G1127" s="4">
        <v>13</v>
      </c>
      <c r="H1127" s="8">
        <v>1.91</v>
      </c>
      <c r="I1127" s="4">
        <v>0</v>
      </c>
    </row>
    <row r="1128" spans="1:9" x14ac:dyDescent="0.2">
      <c r="A1128" s="2">
        <v>5</v>
      </c>
      <c r="B1128" s="1" t="s">
        <v>98</v>
      </c>
      <c r="C1128" s="4">
        <v>92</v>
      </c>
      <c r="D1128" s="8">
        <v>6.76</v>
      </c>
      <c r="E1128" s="4">
        <v>46</v>
      </c>
      <c r="F1128" s="8">
        <v>6.9</v>
      </c>
      <c r="G1128" s="4">
        <v>46</v>
      </c>
      <c r="H1128" s="8">
        <v>6.75</v>
      </c>
      <c r="I1128" s="4">
        <v>0</v>
      </c>
    </row>
    <row r="1129" spans="1:9" x14ac:dyDescent="0.2">
      <c r="A1129" s="2">
        <v>6</v>
      </c>
      <c r="B1129" s="1" t="s">
        <v>96</v>
      </c>
      <c r="C1129" s="4">
        <v>69</v>
      </c>
      <c r="D1129" s="8">
        <v>5.07</v>
      </c>
      <c r="E1129" s="4">
        <v>51</v>
      </c>
      <c r="F1129" s="8">
        <v>7.65</v>
      </c>
      <c r="G1129" s="4">
        <v>18</v>
      </c>
      <c r="H1129" s="8">
        <v>2.64</v>
      </c>
      <c r="I1129" s="4">
        <v>0</v>
      </c>
    </row>
    <row r="1130" spans="1:9" x14ac:dyDescent="0.2">
      <c r="A1130" s="2">
        <v>7</v>
      </c>
      <c r="B1130" s="1" t="s">
        <v>90</v>
      </c>
      <c r="C1130" s="4">
        <v>65</v>
      </c>
      <c r="D1130" s="8">
        <v>4.78</v>
      </c>
      <c r="E1130" s="4">
        <v>12</v>
      </c>
      <c r="F1130" s="8">
        <v>1.8</v>
      </c>
      <c r="G1130" s="4">
        <v>53</v>
      </c>
      <c r="H1130" s="8">
        <v>7.78</v>
      </c>
      <c r="I1130" s="4">
        <v>0</v>
      </c>
    </row>
    <row r="1131" spans="1:9" x14ac:dyDescent="0.2">
      <c r="A1131" s="2">
        <v>8</v>
      </c>
      <c r="B1131" s="1" t="s">
        <v>97</v>
      </c>
      <c r="C1131" s="4">
        <v>49</v>
      </c>
      <c r="D1131" s="8">
        <v>3.6</v>
      </c>
      <c r="E1131" s="4">
        <v>30</v>
      </c>
      <c r="F1131" s="8">
        <v>4.5</v>
      </c>
      <c r="G1131" s="4">
        <v>19</v>
      </c>
      <c r="H1131" s="8">
        <v>2.79</v>
      </c>
      <c r="I1131" s="4">
        <v>0</v>
      </c>
    </row>
    <row r="1132" spans="1:9" x14ac:dyDescent="0.2">
      <c r="A1132" s="2">
        <v>9</v>
      </c>
      <c r="B1132" s="1" t="s">
        <v>100</v>
      </c>
      <c r="C1132" s="4">
        <v>46</v>
      </c>
      <c r="D1132" s="8">
        <v>3.38</v>
      </c>
      <c r="E1132" s="4">
        <v>6</v>
      </c>
      <c r="F1132" s="8">
        <v>0.9</v>
      </c>
      <c r="G1132" s="4">
        <v>40</v>
      </c>
      <c r="H1132" s="8">
        <v>5.87</v>
      </c>
      <c r="I1132" s="4">
        <v>0</v>
      </c>
    </row>
    <row r="1133" spans="1:9" x14ac:dyDescent="0.2">
      <c r="A1133" s="2">
        <v>10</v>
      </c>
      <c r="B1133" s="1" t="s">
        <v>106</v>
      </c>
      <c r="C1133" s="4">
        <v>44</v>
      </c>
      <c r="D1133" s="8">
        <v>3.24</v>
      </c>
      <c r="E1133" s="4">
        <v>37</v>
      </c>
      <c r="F1133" s="8">
        <v>5.55</v>
      </c>
      <c r="G1133" s="4">
        <v>7</v>
      </c>
      <c r="H1133" s="8">
        <v>1.03</v>
      </c>
      <c r="I1133" s="4">
        <v>0</v>
      </c>
    </row>
    <row r="1134" spans="1:9" x14ac:dyDescent="0.2">
      <c r="A1134" s="2">
        <v>11</v>
      </c>
      <c r="B1134" s="1" t="s">
        <v>105</v>
      </c>
      <c r="C1134" s="4">
        <v>36</v>
      </c>
      <c r="D1134" s="8">
        <v>2.65</v>
      </c>
      <c r="E1134" s="4">
        <v>27</v>
      </c>
      <c r="F1134" s="8">
        <v>4.05</v>
      </c>
      <c r="G1134" s="4">
        <v>8</v>
      </c>
      <c r="H1134" s="8">
        <v>1.17</v>
      </c>
      <c r="I1134" s="4">
        <v>0</v>
      </c>
    </row>
    <row r="1135" spans="1:9" x14ac:dyDescent="0.2">
      <c r="A1135" s="2">
        <v>12</v>
      </c>
      <c r="B1135" s="1" t="s">
        <v>101</v>
      </c>
      <c r="C1135" s="4">
        <v>35</v>
      </c>
      <c r="D1135" s="8">
        <v>2.57</v>
      </c>
      <c r="E1135" s="4">
        <v>21</v>
      </c>
      <c r="F1135" s="8">
        <v>3.15</v>
      </c>
      <c r="G1135" s="4">
        <v>14</v>
      </c>
      <c r="H1135" s="8">
        <v>2.06</v>
      </c>
      <c r="I1135" s="4">
        <v>0</v>
      </c>
    </row>
    <row r="1136" spans="1:9" x14ac:dyDescent="0.2">
      <c r="A1136" s="2">
        <v>13</v>
      </c>
      <c r="B1136" s="1" t="s">
        <v>99</v>
      </c>
      <c r="C1136" s="4">
        <v>32</v>
      </c>
      <c r="D1136" s="8">
        <v>2.35</v>
      </c>
      <c r="E1136" s="4">
        <v>7</v>
      </c>
      <c r="F1136" s="8">
        <v>1.05</v>
      </c>
      <c r="G1136" s="4">
        <v>25</v>
      </c>
      <c r="H1136" s="8">
        <v>3.67</v>
      </c>
      <c r="I1136" s="4">
        <v>0</v>
      </c>
    </row>
    <row r="1137" spans="1:9" x14ac:dyDescent="0.2">
      <c r="A1137" s="2">
        <v>14</v>
      </c>
      <c r="B1137" s="1" t="s">
        <v>102</v>
      </c>
      <c r="C1137" s="4">
        <v>30</v>
      </c>
      <c r="D1137" s="8">
        <v>2.21</v>
      </c>
      <c r="E1137" s="4">
        <v>14</v>
      </c>
      <c r="F1137" s="8">
        <v>2.1</v>
      </c>
      <c r="G1137" s="4">
        <v>16</v>
      </c>
      <c r="H1137" s="8">
        <v>2.35</v>
      </c>
      <c r="I1137" s="4">
        <v>0</v>
      </c>
    </row>
    <row r="1138" spans="1:9" x14ac:dyDescent="0.2">
      <c r="A1138" s="2">
        <v>15</v>
      </c>
      <c r="B1138" s="1" t="s">
        <v>95</v>
      </c>
      <c r="C1138" s="4">
        <v>29</v>
      </c>
      <c r="D1138" s="8">
        <v>2.13</v>
      </c>
      <c r="E1138" s="4">
        <v>14</v>
      </c>
      <c r="F1138" s="8">
        <v>2.1</v>
      </c>
      <c r="G1138" s="4">
        <v>15</v>
      </c>
      <c r="H1138" s="8">
        <v>2.2000000000000002</v>
      </c>
      <c r="I1138" s="4">
        <v>0</v>
      </c>
    </row>
    <row r="1139" spans="1:9" x14ac:dyDescent="0.2">
      <c r="A1139" s="2">
        <v>16</v>
      </c>
      <c r="B1139" s="1" t="s">
        <v>121</v>
      </c>
      <c r="C1139" s="4">
        <v>25</v>
      </c>
      <c r="D1139" s="8">
        <v>1.84</v>
      </c>
      <c r="E1139" s="4">
        <v>7</v>
      </c>
      <c r="F1139" s="8">
        <v>1.05</v>
      </c>
      <c r="G1139" s="4">
        <v>18</v>
      </c>
      <c r="H1139" s="8">
        <v>2.64</v>
      </c>
      <c r="I1139" s="4">
        <v>0</v>
      </c>
    </row>
    <row r="1140" spans="1:9" x14ac:dyDescent="0.2">
      <c r="A1140" s="2">
        <v>17</v>
      </c>
      <c r="B1140" s="1" t="s">
        <v>119</v>
      </c>
      <c r="C1140" s="4">
        <v>21</v>
      </c>
      <c r="D1140" s="8">
        <v>1.54</v>
      </c>
      <c r="E1140" s="4">
        <v>6</v>
      </c>
      <c r="F1140" s="8">
        <v>0.9</v>
      </c>
      <c r="G1140" s="4">
        <v>15</v>
      </c>
      <c r="H1140" s="8">
        <v>2.2000000000000002</v>
      </c>
      <c r="I1140" s="4">
        <v>0</v>
      </c>
    </row>
    <row r="1141" spans="1:9" x14ac:dyDescent="0.2">
      <c r="A1141" s="2">
        <v>17</v>
      </c>
      <c r="B1141" s="1" t="s">
        <v>110</v>
      </c>
      <c r="C1141" s="4">
        <v>21</v>
      </c>
      <c r="D1141" s="8">
        <v>1.54</v>
      </c>
      <c r="E1141" s="4">
        <v>5</v>
      </c>
      <c r="F1141" s="8">
        <v>0.75</v>
      </c>
      <c r="G1141" s="4">
        <v>16</v>
      </c>
      <c r="H1141" s="8">
        <v>2.35</v>
      </c>
      <c r="I1141" s="4">
        <v>0</v>
      </c>
    </row>
    <row r="1142" spans="1:9" x14ac:dyDescent="0.2">
      <c r="A1142" s="2">
        <v>17</v>
      </c>
      <c r="B1142" s="1" t="s">
        <v>132</v>
      </c>
      <c r="C1142" s="4">
        <v>21</v>
      </c>
      <c r="D1142" s="8">
        <v>1.54</v>
      </c>
      <c r="E1142" s="4">
        <v>0</v>
      </c>
      <c r="F1142" s="8">
        <v>0</v>
      </c>
      <c r="G1142" s="4">
        <v>12</v>
      </c>
      <c r="H1142" s="8">
        <v>1.76</v>
      </c>
      <c r="I1142" s="4">
        <v>0</v>
      </c>
    </row>
    <row r="1143" spans="1:9" x14ac:dyDescent="0.2">
      <c r="A1143" s="2">
        <v>20</v>
      </c>
      <c r="B1143" s="1" t="s">
        <v>133</v>
      </c>
      <c r="C1143" s="4">
        <v>20</v>
      </c>
      <c r="D1143" s="8">
        <v>1.47</v>
      </c>
      <c r="E1143" s="4">
        <v>9</v>
      </c>
      <c r="F1143" s="8">
        <v>1.35</v>
      </c>
      <c r="G1143" s="4">
        <v>11</v>
      </c>
      <c r="H1143" s="8">
        <v>1.62</v>
      </c>
      <c r="I1143" s="4">
        <v>0</v>
      </c>
    </row>
    <row r="1144" spans="1:9" x14ac:dyDescent="0.2">
      <c r="A1144" s="1"/>
      <c r="C1144" s="4"/>
      <c r="D1144" s="8"/>
      <c r="E1144" s="4"/>
      <c r="F1144" s="8"/>
      <c r="G1144" s="4"/>
      <c r="H1144" s="8"/>
      <c r="I1144" s="4"/>
    </row>
    <row r="1145" spans="1:9" x14ac:dyDescent="0.2">
      <c r="A1145" s="1" t="s">
        <v>51</v>
      </c>
      <c r="C1145" s="4"/>
      <c r="D1145" s="8"/>
      <c r="E1145" s="4"/>
      <c r="F1145" s="8"/>
      <c r="G1145" s="4"/>
      <c r="H1145" s="8"/>
      <c r="I1145" s="4"/>
    </row>
    <row r="1146" spans="1:9" x14ac:dyDescent="0.2">
      <c r="A1146" s="2">
        <v>1</v>
      </c>
      <c r="B1146" s="1" t="s">
        <v>100</v>
      </c>
      <c r="C1146" s="4">
        <v>324</v>
      </c>
      <c r="D1146" s="8">
        <v>11.4</v>
      </c>
      <c r="E1146" s="4">
        <v>94</v>
      </c>
      <c r="F1146" s="8">
        <v>7.77</v>
      </c>
      <c r="G1146" s="4">
        <v>230</v>
      </c>
      <c r="H1146" s="8">
        <v>14.21</v>
      </c>
      <c r="I1146" s="4">
        <v>0</v>
      </c>
    </row>
    <row r="1147" spans="1:9" x14ac:dyDescent="0.2">
      <c r="A1147" s="2">
        <v>2</v>
      </c>
      <c r="B1147" s="1" t="s">
        <v>104</v>
      </c>
      <c r="C1147" s="4">
        <v>295</v>
      </c>
      <c r="D1147" s="8">
        <v>10.38</v>
      </c>
      <c r="E1147" s="4">
        <v>220</v>
      </c>
      <c r="F1147" s="8">
        <v>18.18</v>
      </c>
      <c r="G1147" s="4">
        <v>75</v>
      </c>
      <c r="H1147" s="8">
        <v>4.63</v>
      </c>
      <c r="I1147" s="4">
        <v>0</v>
      </c>
    </row>
    <row r="1148" spans="1:9" x14ac:dyDescent="0.2">
      <c r="A1148" s="2">
        <v>3</v>
      </c>
      <c r="B1148" s="1" t="s">
        <v>103</v>
      </c>
      <c r="C1148" s="4">
        <v>253</v>
      </c>
      <c r="D1148" s="8">
        <v>8.9</v>
      </c>
      <c r="E1148" s="4">
        <v>211</v>
      </c>
      <c r="F1148" s="8">
        <v>17.440000000000001</v>
      </c>
      <c r="G1148" s="4">
        <v>42</v>
      </c>
      <c r="H1148" s="8">
        <v>2.59</v>
      </c>
      <c r="I1148" s="4">
        <v>0</v>
      </c>
    </row>
    <row r="1149" spans="1:9" x14ac:dyDescent="0.2">
      <c r="A1149" s="2">
        <v>4</v>
      </c>
      <c r="B1149" s="1" t="s">
        <v>89</v>
      </c>
      <c r="C1149" s="4">
        <v>160</v>
      </c>
      <c r="D1149" s="8">
        <v>5.63</v>
      </c>
      <c r="E1149" s="4">
        <v>30</v>
      </c>
      <c r="F1149" s="8">
        <v>2.48</v>
      </c>
      <c r="G1149" s="4">
        <v>130</v>
      </c>
      <c r="H1149" s="8">
        <v>8.0299999999999994</v>
      </c>
      <c r="I1149" s="4">
        <v>0</v>
      </c>
    </row>
    <row r="1150" spans="1:9" x14ac:dyDescent="0.2">
      <c r="A1150" s="2">
        <v>5</v>
      </c>
      <c r="B1150" s="1" t="s">
        <v>106</v>
      </c>
      <c r="C1150" s="4">
        <v>153</v>
      </c>
      <c r="D1150" s="8">
        <v>5.38</v>
      </c>
      <c r="E1150" s="4">
        <v>135</v>
      </c>
      <c r="F1150" s="8">
        <v>11.16</v>
      </c>
      <c r="G1150" s="4">
        <v>18</v>
      </c>
      <c r="H1150" s="8">
        <v>1.1100000000000001</v>
      </c>
      <c r="I1150" s="4">
        <v>0</v>
      </c>
    </row>
    <row r="1151" spans="1:9" x14ac:dyDescent="0.2">
      <c r="A1151" s="2">
        <v>6</v>
      </c>
      <c r="B1151" s="1" t="s">
        <v>105</v>
      </c>
      <c r="C1151" s="4">
        <v>149</v>
      </c>
      <c r="D1151" s="8">
        <v>5.24</v>
      </c>
      <c r="E1151" s="4">
        <v>103</v>
      </c>
      <c r="F1151" s="8">
        <v>8.51</v>
      </c>
      <c r="G1151" s="4">
        <v>45</v>
      </c>
      <c r="H1151" s="8">
        <v>2.78</v>
      </c>
      <c r="I1151" s="4">
        <v>0</v>
      </c>
    </row>
    <row r="1152" spans="1:9" x14ac:dyDescent="0.2">
      <c r="A1152" s="2">
        <v>7</v>
      </c>
      <c r="B1152" s="1" t="s">
        <v>96</v>
      </c>
      <c r="C1152" s="4">
        <v>144</v>
      </c>
      <c r="D1152" s="8">
        <v>5.07</v>
      </c>
      <c r="E1152" s="4">
        <v>94</v>
      </c>
      <c r="F1152" s="8">
        <v>7.77</v>
      </c>
      <c r="G1152" s="4">
        <v>50</v>
      </c>
      <c r="H1152" s="8">
        <v>3.09</v>
      </c>
      <c r="I1152" s="4">
        <v>0</v>
      </c>
    </row>
    <row r="1153" spans="1:9" x14ac:dyDescent="0.2">
      <c r="A1153" s="2">
        <v>8</v>
      </c>
      <c r="B1153" s="1" t="s">
        <v>98</v>
      </c>
      <c r="C1153" s="4">
        <v>139</v>
      </c>
      <c r="D1153" s="8">
        <v>4.8899999999999997</v>
      </c>
      <c r="E1153" s="4">
        <v>68</v>
      </c>
      <c r="F1153" s="8">
        <v>5.62</v>
      </c>
      <c r="G1153" s="4">
        <v>71</v>
      </c>
      <c r="H1153" s="8">
        <v>4.3899999999999997</v>
      </c>
      <c r="I1153" s="4">
        <v>0</v>
      </c>
    </row>
    <row r="1154" spans="1:9" x14ac:dyDescent="0.2">
      <c r="A1154" s="2">
        <v>9</v>
      </c>
      <c r="B1154" s="1" t="s">
        <v>101</v>
      </c>
      <c r="C1154" s="4">
        <v>138</v>
      </c>
      <c r="D1154" s="8">
        <v>4.8600000000000003</v>
      </c>
      <c r="E1154" s="4">
        <v>59</v>
      </c>
      <c r="F1154" s="8">
        <v>4.88</v>
      </c>
      <c r="G1154" s="4">
        <v>79</v>
      </c>
      <c r="H1154" s="8">
        <v>4.88</v>
      </c>
      <c r="I1154" s="4">
        <v>0</v>
      </c>
    </row>
    <row r="1155" spans="1:9" x14ac:dyDescent="0.2">
      <c r="A1155" s="2">
        <v>10</v>
      </c>
      <c r="B1155" s="1" t="s">
        <v>88</v>
      </c>
      <c r="C1155" s="4">
        <v>131</v>
      </c>
      <c r="D1155" s="8">
        <v>4.6100000000000003</v>
      </c>
      <c r="E1155" s="4">
        <v>19</v>
      </c>
      <c r="F1155" s="8">
        <v>1.57</v>
      </c>
      <c r="G1155" s="4">
        <v>112</v>
      </c>
      <c r="H1155" s="8">
        <v>6.92</v>
      </c>
      <c r="I1155" s="4">
        <v>0</v>
      </c>
    </row>
    <row r="1156" spans="1:9" x14ac:dyDescent="0.2">
      <c r="A1156" s="2">
        <v>11</v>
      </c>
      <c r="B1156" s="1" t="s">
        <v>90</v>
      </c>
      <c r="C1156" s="4">
        <v>92</v>
      </c>
      <c r="D1156" s="8">
        <v>3.24</v>
      </c>
      <c r="E1156" s="4">
        <v>8</v>
      </c>
      <c r="F1156" s="8">
        <v>0.66</v>
      </c>
      <c r="G1156" s="4">
        <v>84</v>
      </c>
      <c r="H1156" s="8">
        <v>5.19</v>
      </c>
      <c r="I1156" s="4">
        <v>0</v>
      </c>
    </row>
    <row r="1157" spans="1:9" x14ac:dyDescent="0.2">
      <c r="A1157" s="2">
        <v>12</v>
      </c>
      <c r="B1157" s="1" t="s">
        <v>102</v>
      </c>
      <c r="C1157" s="4">
        <v>76</v>
      </c>
      <c r="D1157" s="8">
        <v>2.67</v>
      </c>
      <c r="E1157" s="4">
        <v>16</v>
      </c>
      <c r="F1157" s="8">
        <v>1.32</v>
      </c>
      <c r="G1157" s="4">
        <v>60</v>
      </c>
      <c r="H1157" s="8">
        <v>3.71</v>
      </c>
      <c r="I1157" s="4">
        <v>0</v>
      </c>
    </row>
    <row r="1158" spans="1:9" x14ac:dyDescent="0.2">
      <c r="A1158" s="2">
        <v>13</v>
      </c>
      <c r="B1158" s="1" t="s">
        <v>97</v>
      </c>
      <c r="C1158" s="4">
        <v>69</v>
      </c>
      <c r="D1158" s="8">
        <v>2.4300000000000002</v>
      </c>
      <c r="E1158" s="4">
        <v>29</v>
      </c>
      <c r="F1158" s="8">
        <v>2.4</v>
      </c>
      <c r="G1158" s="4">
        <v>40</v>
      </c>
      <c r="H1158" s="8">
        <v>2.4700000000000002</v>
      </c>
      <c r="I1158" s="4">
        <v>0</v>
      </c>
    </row>
    <row r="1159" spans="1:9" x14ac:dyDescent="0.2">
      <c r="A1159" s="2">
        <v>14</v>
      </c>
      <c r="B1159" s="1" t="s">
        <v>99</v>
      </c>
      <c r="C1159" s="4">
        <v>61</v>
      </c>
      <c r="D1159" s="8">
        <v>2.15</v>
      </c>
      <c r="E1159" s="4">
        <v>4</v>
      </c>
      <c r="F1159" s="8">
        <v>0.33</v>
      </c>
      <c r="G1159" s="4">
        <v>57</v>
      </c>
      <c r="H1159" s="8">
        <v>3.52</v>
      </c>
      <c r="I1159" s="4">
        <v>0</v>
      </c>
    </row>
    <row r="1160" spans="1:9" x14ac:dyDescent="0.2">
      <c r="A1160" s="2">
        <v>15</v>
      </c>
      <c r="B1160" s="1" t="s">
        <v>132</v>
      </c>
      <c r="C1160" s="4">
        <v>59</v>
      </c>
      <c r="D1160" s="8">
        <v>2.08</v>
      </c>
      <c r="E1160" s="4">
        <v>2</v>
      </c>
      <c r="F1160" s="8">
        <v>0.17</v>
      </c>
      <c r="G1160" s="4">
        <v>45</v>
      </c>
      <c r="H1160" s="8">
        <v>2.78</v>
      </c>
      <c r="I1160" s="4">
        <v>0</v>
      </c>
    </row>
    <row r="1161" spans="1:9" x14ac:dyDescent="0.2">
      <c r="A1161" s="2">
        <v>16</v>
      </c>
      <c r="B1161" s="1" t="s">
        <v>95</v>
      </c>
      <c r="C1161" s="4">
        <v>48</v>
      </c>
      <c r="D1161" s="8">
        <v>1.69</v>
      </c>
      <c r="E1161" s="4">
        <v>21</v>
      </c>
      <c r="F1161" s="8">
        <v>1.74</v>
      </c>
      <c r="G1161" s="4">
        <v>27</v>
      </c>
      <c r="H1161" s="8">
        <v>1.67</v>
      </c>
      <c r="I1161" s="4">
        <v>0</v>
      </c>
    </row>
    <row r="1162" spans="1:9" x14ac:dyDescent="0.2">
      <c r="A1162" s="2">
        <v>17</v>
      </c>
      <c r="B1162" s="1" t="s">
        <v>94</v>
      </c>
      <c r="C1162" s="4">
        <v>46</v>
      </c>
      <c r="D1162" s="8">
        <v>1.62</v>
      </c>
      <c r="E1162" s="4">
        <v>8</v>
      </c>
      <c r="F1162" s="8">
        <v>0.66</v>
      </c>
      <c r="G1162" s="4">
        <v>38</v>
      </c>
      <c r="H1162" s="8">
        <v>2.35</v>
      </c>
      <c r="I1162" s="4">
        <v>0</v>
      </c>
    </row>
    <row r="1163" spans="1:9" x14ac:dyDescent="0.2">
      <c r="A1163" s="2">
        <v>18</v>
      </c>
      <c r="B1163" s="1" t="s">
        <v>107</v>
      </c>
      <c r="C1163" s="4">
        <v>42</v>
      </c>
      <c r="D1163" s="8">
        <v>1.48</v>
      </c>
      <c r="E1163" s="4">
        <v>3</v>
      </c>
      <c r="F1163" s="8">
        <v>0.25</v>
      </c>
      <c r="G1163" s="4">
        <v>39</v>
      </c>
      <c r="H1163" s="8">
        <v>2.41</v>
      </c>
      <c r="I1163" s="4">
        <v>0</v>
      </c>
    </row>
    <row r="1164" spans="1:9" x14ac:dyDescent="0.2">
      <c r="A1164" s="2">
        <v>19</v>
      </c>
      <c r="B1164" s="1" t="s">
        <v>115</v>
      </c>
      <c r="C1164" s="4">
        <v>39</v>
      </c>
      <c r="D1164" s="8">
        <v>1.37</v>
      </c>
      <c r="E1164" s="4">
        <v>15</v>
      </c>
      <c r="F1164" s="8">
        <v>1.24</v>
      </c>
      <c r="G1164" s="4">
        <v>24</v>
      </c>
      <c r="H1164" s="8">
        <v>1.48</v>
      </c>
      <c r="I1164" s="4">
        <v>0</v>
      </c>
    </row>
    <row r="1165" spans="1:9" x14ac:dyDescent="0.2">
      <c r="A1165" s="2">
        <v>20</v>
      </c>
      <c r="B1165" s="1" t="s">
        <v>91</v>
      </c>
      <c r="C1165" s="4">
        <v>37</v>
      </c>
      <c r="D1165" s="8">
        <v>1.3</v>
      </c>
      <c r="E1165" s="4">
        <v>2</v>
      </c>
      <c r="F1165" s="8">
        <v>0.17</v>
      </c>
      <c r="G1165" s="4">
        <v>35</v>
      </c>
      <c r="H1165" s="8">
        <v>2.16</v>
      </c>
      <c r="I1165" s="4">
        <v>0</v>
      </c>
    </row>
    <row r="1166" spans="1:9" x14ac:dyDescent="0.2">
      <c r="A1166" s="1"/>
      <c r="C1166" s="4"/>
      <c r="D1166" s="8"/>
      <c r="E1166" s="4"/>
      <c r="F1166" s="8"/>
      <c r="G1166" s="4"/>
      <c r="H1166" s="8"/>
      <c r="I1166" s="4"/>
    </row>
    <row r="1167" spans="1:9" x14ac:dyDescent="0.2">
      <c r="A1167" s="1" t="s">
        <v>52</v>
      </c>
      <c r="C1167" s="4"/>
      <c r="D1167" s="8"/>
      <c r="E1167" s="4"/>
      <c r="F1167" s="8"/>
      <c r="G1167" s="4"/>
      <c r="H1167" s="8"/>
      <c r="I1167" s="4"/>
    </row>
    <row r="1168" spans="1:9" x14ac:dyDescent="0.2">
      <c r="A1168" s="2">
        <v>1</v>
      </c>
      <c r="B1168" s="1" t="s">
        <v>89</v>
      </c>
      <c r="C1168" s="4">
        <v>78</v>
      </c>
      <c r="D1168" s="8">
        <v>8.14</v>
      </c>
      <c r="E1168" s="4">
        <v>21</v>
      </c>
      <c r="F1168" s="8">
        <v>6.6</v>
      </c>
      <c r="G1168" s="4">
        <v>57</v>
      </c>
      <c r="H1168" s="8">
        <v>8.9499999999999993</v>
      </c>
      <c r="I1168" s="4">
        <v>0</v>
      </c>
    </row>
    <row r="1169" spans="1:9" x14ac:dyDescent="0.2">
      <c r="A1169" s="2">
        <v>2</v>
      </c>
      <c r="B1169" s="1" t="s">
        <v>119</v>
      </c>
      <c r="C1169" s="4">
        <v>76</v>
      </c>
      <c r="D1169" s="8">
        <v>7.93</v>
      </c>
      <c r="E1169" s="4">
        <v>16</v>
      </c>
      <c r="F1169" s="8">
        <v>5.03</v>
      </c>
      <c r="G1169" s="4">
        <v>60</v>
      </c>
      <c r="H1169" s="8">
        <v>9.42</v>
      </c>
      <c r="I1169" s="4">
        <v>0</v>
      </c>
    </row>
    <row r="1170" spans="1:9" x14ac:dyDescent="0.2">
      <c r="A1170" s="2">
        <v>3</v>
      </c>
      <c r="B1170" s="1" t="s">
        <v>88</v>
      </c>
      <c r="C1170" s="4">
        <v>63</v>
      </c>
      <c r="D1170" s="8">
        <v>6.58</v>
      </c>
      <c r="E1170" s="4">
        <v>16</v>
      </c>
      <c r="F1170" s="8">
        <v>5.03</v>
      </c>
      <c r="G1170" s="4">
        <v>47</v>
      </c>
      <c r="H1170" s="8">
        <v>7.38</v>
      </c>
      <c r="I1170" s="4">
        <v>0</v>
      </c>
    </row>
    <row r="1171" spans="1:9" x14ac:dyDescent="0.2">
      <c r="A1171" s="2">
        <v>4</v>
      </c>
      <c r="B1171" s="1" t="s">
        <v>103</v>
      </c>
      <c r="C1171" s="4">
        <v>52</v>
      </c>
      <c r="D1171" s="8">
        <v>5.43</v>
      </c>
      <c r="E1171" s="4">
        <v>40</v>
      </c>
      <c r="F1171" s="8">
        <v>12.58</v>
      </c>
      <c r="G1171" s="4">
        <v>12</v>
      </c>
      <c r="H1171" s="8">
        <v>1.88</v>
      </c>
      <c r="I1171" s="4">
        <v>0</v>
      </c>
    </row>
    <row r="1172" spans="1:9" x14ac:dyDescent="0.2">
      <c r="A1172" s="2">
        <v>5</v>
      </c>
      <c r="B1172" s="1" t="s">
        <v>121</v>
      </c>
      <c r="C1172" s="4">
        <v>49</v>
      </c>
      <c r="D1172" s="8">
        <v>5.1100000000000003</v>
      </c>
      <c r="E1172" s="4">
        <v>6</v>
      </c>
      <c r="F1172" s="8">
        <v>1.89</v>
      </c>
      <c r="G1172" s="4">
        <v>43</v>
      </c>
      <c r="H1172" s="8">
        <v>6.75</v>
      </c>
      <c r="I1172" s="4">
        <v>0</v>
      </c>
    </row>
    <row r="1173" spans="1:9" x14ac:dyDescent="0.2">
      <c r="A1173" s="2">
        <v>5</v>
      </c>
      <c r="B1173" s="1" t="s">
        <v>97</v>
      </c>
      <c r="C1173" s="4">
        <v>49</v>
      </c>
      <c r="D1173" s="8">
        <v>5.1100000000000003</v>
      </c>
      <c r="E1173" s="4">
        <v>21</v>
      </c>
      <c r="F1173" s="8">
        <v>6.6</v>
      </c>
      <c r="G1173" s="4">
        <v>28</v>
      </c>
      <c r="H1173" s="8">
        <v>4.4000000000000004</v>
      </c>
      <c r="I1173" s="4">
        <v>0</v>
      </c>
    </row>
    <row r="1174" spans="1:9" x14ac:dyDescent="0.2">
      <c r="A1174" s="2">
        <v>7</v>
      </c>
      <c r="B1174" s="1" t="s">
        <v>104</v>
      </c>
      <c r="C1174" s="4">
        <v>45</v>
      </c>
      <c r="D1174" s="8">
        <v>4.7</v>
      </c>
      <c r="E1174" s="4">
        <v>40</v>
      </c>
      <c r="F1174" s="8">
        <v>12.58</v>
      </c>
      <c r="G1174" s="4">
        <v>5</v>
      </c>
      <c r="H1174" s="8">
        <v>0.78</v>
      </c>
      <c r="I1174" s="4">
        <v>0</v>
      </c>
    </row>
    <row r="1175" spans="1:9" x14ac:dyDescent="0.2">
      <c r="A1175" s="2">
        <v>8</v>
      </c>
      <c r="B1175" s="1" t="s">
        <v>100</v>
      </c>
      <c r="C1175" s="4">
        <v>43</v>
      </c>
      <c r="D1175" s="8">
        <v>4.49</v>
      </c>
      <c r="E1175" s="4">
        <v>1</v>
      </c>
      <c r="F1175" s="8">
        <v>0.31</v>
      </c>
      <c r="G1175" s="4">
        <v>42</v>
      </c>
      <c r="H1175" s="8">
        <v>6.59</v>
      </c>
      <c r="I1175" s="4">
        <v>0</v>
      </c>
    </row>
    <row r="1176" spans="1:9" x14ac:dyDescent="0.2">
      <c r="A1176" s="2">
        <v>9</v>
      </c>
      <c r="B1176" s="1" t="s">
        <v>133</v>
      </c>
      <c r="C1176" s="4">
        <v>36</v>
      </c>
      <c r="D1176" s="8">
        <v>3.76</v>
      </c>
      <c r="E1176" s="4">
        <v>18</v>
      </c>
      <c r="F1176" s="8">
        <v>5.66</v>
      </c>
      <c r="G1176" s="4">
        <v>18</v>
      </c>
      <c r="H1176" s="8">
        <v>2.83</v>
      </c>
      <c r="I1176" s="4">
        <v>0</v>
      </c>
    </row>
    <row r="1177" spans="1:9" x14ac:dyDescent="0.2">
      <c r="A1177" s="2">
        <v>10</v>
      </c>
      <c r="B1177" s="1" t="s">
        <v>98</v>
      </c>
      <c r="C1177" s="4">
        <v>32</v>
      </c>
      <c r="D1177" s="8">
        <v>3.34</v>
      </c>
      <c r="E1177" s="4">
        <v>16</v>
      </c>
      <c r="F1177" s="8">
        <v>5.03</v>
      </c>
      <c r="G1177" s="4">
        <v>16</v>
      </c>
      <c r="H1177" s="8">
        <v>2.5099999999999998</v>
      </c>
      <c r="I1177" s="4">
        <v>0</v>
      </c>
    </row>
    <row r="1178" spans="1:9" x14ac:dyDescent="0.2">
      <c r="A1178" s="2">
        <v>11</v>
      </c>
      <c r="B1178" s="1" t="s">
        <v>90</v>
      </c>
      <c r="C1178" s="4">
        <v>30</v>
      </c>
      <c r="D1178" s="8">
        <v>3.13</v>
      </c>
      <c r="E1178" s="4">
        <v>8</v>
      </c>
      <c r="F1178" s="8">
        <v>2.52</v>
      </c>
      <c r="G1178" s="4">
        <v>22</v>
      </c>
      <c r="H1178" s="8">
        <v>3.45</v>
      </c>
      <c r="I1178" s="4">
        <v>0</v>
      </c>
    </row>
    <row r="1179" spans="1:9" x14ac:dyDescent="0.2">
      <c r="A1179" s="2">
        <v>11</v>
      </c>
      <c r="B1179" s="1" t="s">
        <v>96</v>
      </c>
      <c r="C1179" s="4">
        <v>30</v>
      </c>
      <c r="D1179" s="8">
        <v>3.13</v>
      </c>
      <c r="E1179" s="4">
        <v>19</v>
      </c>
      <c r="F1179" s="8">
        <v>5.97</v>
      </c>
      <c r="G1179" s="4">
        <v>11</v>
      </c>
      <c r="H1179" s="8">
        <v>1.73</v>
      </c>
      <c r="I1179" s="4">
        <v>0</v>
      </c>
    </row>
    <row r="1180" spans="1:9" x14ac:dyDescent="0.2">
      <c r="A1180" s="2">
        <v>13</v>
      </c>
      <c r="B1180" s="1" t="s">
        <v>134</v>
      </c>
      <c r="C1180" s="4">
        <v>19</v>
      </c>
      <c r="D1180" s="8">
        <v>1.98</v>
      </c>
      <c r="E1180" s="4">
        <v>3</v>
      </c>
      <c r="F1180" s="8">
        <v>0.94</v>
      </c>
      <c r="G1180" s="4">
        <v>16</v>
      </c>
      <c r="H1180" s="8">
        <v>2.5099999999999998</v>
      </c>
      <c r="I1180" s="4">
        <v>0</v>
      </c>
    </row>
    <row r="1181" spans="1:9" x14ac:dyDescent="0.2">
      <c r="A1181" s="2">
        <v>14</v>
      </c>
      <c r="B1181" s="1" t="s">
        <v>124</v>
      </c>
      <c r="C1181" s="4">
        <v>18</v>
      </c>
      <c r="D1181" s="8">
        <v>1.88</v>
      </c>
      <c r="E1181" s="4">
        <v>1</v>
      </c>
      <c r="F1181" s="8">
        <v>0.31</v>
      </c>
      <c r="G1181" s="4">
        <v>17</v>
      </c>
      <c r="H1181" s="8">
        <v>2.67</v>
      </c>
      <c r="I1181" s="4">
        <v>0</v>
      </c>
    </row>
    <row r="1182" spans="1:9" x14ac:dyDescent="0.2">
      <c r="A1182" s="2">
        <v>14</v>
      </c>
      <c r="B1182" s="1" t="s">
        <v>135</v>
      </c>
      <c r="C1182" s="4">
        <v>18</v>
      </c>
      <c r="D1182" s="8">
        <v>1.88</v>
      </c>
      <c r="E1182" s="4">
        <v>2</v>
      </c>
      <c r="F1182" s="8">
        <v>0.63</v>
      </c>
      <c r="G1182" s="4">
        <v>16</v>
      </c>
      <c r="H1182" s="8">
        <v>2.5099999999999998</v>
      </c>
      <c r="I1182" s="4">
        <v>0</v>
      </c>
    </row>
    <row r="1183" spans="1:9" x14ac:dyDescent="0.2">
      <c r="A1183" s="2">
        <v>14</v>
      </c>
      <c r="B1183" s="1" t="s">
        <v>106</v>
      </c>
      <c r="C1183" s="4">
        <v>18</v>
      </c>
      <c r="D1183" s="8">
        <v>1.88</v>
      </c>
      <c r="E1183" s="4">
        <v>16</v>
      </c>
      <c r="F1183" s="8">
        <v>5.03</v>
      </c>
      <c r="G1183" s="4">
        <v>2</v>
      </c>
      <c r="H1183" s="8">
        <v>0.31</v>
      </c>
      <c r="I1183" s="4">
        <v>0</v>
      </c>
    </row>
    <row r="1184" spans="1:9" x14ac:dyDescent="0.2">
      <c r="A1184" s="2">
        <v>17</v>
      </c>
      <c r="B1184" s="1" t="s">
        <v>127</v>
      </c>
      <c r="C1184" s="4">
        <v>17</v>
      </c>
      <c r="D1184" s="8">
        <v>1.77</v>
      </c>
      <c r="E1184" s="4">
        <v>2</v>
      </c>
      <c r="F1184" s="8">
        <v>0.63</v>
      </c>
      <c r="G1184" s="4">
        <v>15</v>
      </c>
      <c r="H1184" s="8">
        <v>2.35</v>
      </c>
      <c r="I1184" s="4">
        <v>0</v>
      </c>
    </row>
    <row r="1185" spans="1:9" x14ac:dyDescent="0.2">
      <c r="A1185" s="2">
        <v>17</v>
      </c>
      <c r="B1185" s="1" t="s">
        <v>117</v>
      </c>
      <c r="C1185" s="4">
        <v>17</v>
      </c>
      <c r="D1185" s="8">
        <v>1.77</v>
      </c>
      <c r="E1185" s="4">
        <v>2</v>
      </c>
      <c r="F1185" s="8">
        <v>0.63</v>
      </c>
      <c r="G1185" s="4">
        <v>15</v>
      </c>
      <c r="H1185" s="8">
        <v>2.35</v>
      </c>
      <c r="I1185" s="4">
        <v>0</v>
      </c>
    </row>
    <row r="1186" spans="1:9" x14ac:dyDescent="0.2">
      <c r="A1186" s="2">
        <v>19</v>
      </c>
      <c r="B1186" s="1" t="s">
        <v>110</v>
      </c>
      <c r="C1186" s="4">
        <v>16</v>
      </c>
      <c r="D1186" s="8">
        <v>1.67</v>
      </c>
      <c r="E1186" s="4">
        <v>2</v>
      </c>
      <c r="F1186" s="8">
        <v>0.63</v>
      </c>
      <c r="G1186" s="4">
        <v>14</v>
      </c>
      <c r="H1186" s="8">
        <v>2.2000000000000002</v>
      </c>
      <c r="I1186" s="4">
        <v>0</v>
      </c>
    </row>
    <row r="1187" spans="1:9" x14ac:dyDescent="0.2">
      <c r="A1187" s="2">
        <v>20</v>
      </c>
      <c r="B1187" s="1" t="s">
        <v>102</v>
      </c>
      <c r="C1187" s="4">
        <v>15</v>
      </c>
      <c r="D1187" s="8">
        <v>1.57</v>
      </c>
      <c r="E1187" s="4">
        <v>7</v>
      </c>
      <c r="F1187" s="8">
        <v>2.2000000000000002</v>
      </c>
      <c r="G1187" s="4">
        <v>8</v>
      </c>
      <c r="H1187" s="8">
        <v>1.26</v>
      </c>
      <c r="I1187" s="4">
        <v>0</v>
      </c>
    </row>
    <row r="1188" spans="1:9" x14ac:dyDescent="0.2">
      <c r="A1188" s="2">
        <v>20</v>
      </c>
      <c r="B1188" s="1" t="s">
        <v>105</v>
      </c>
      <c r="C1188" s="4">
        <v>15</v>
      </c>
      <c r="D1188" s="8">
        <v>1.57</v>
      </c>
      <c r="E1188" s="4">
        <v>12</v>
      </c>
      <c r="F1188" s="8">
        <v>3.77</v>
      </c>
      <c r="G1188" s="4">
        <v>2</v>
      </c>
      <c r="H1188" s="8">
        <v>0.31</v>
      </c>
      <c r="I1188" s="4">
        <v>0</v>
      </c>
    </row>
    <row r="1189" spans="1:9" x14ac:dyDescent="0.2">
      <c r="A1189" s="1"/>
      <c r="C1189" s="4"/>
      <c r="D1189" s="8"/>
      <c r="E1189" s="4"/>
      <c r="F1189" s="8"/>
      <c r="G1189" s="4"/>
      <c r="H1189" s="8"/>
      <c r="I1189" s="4"/>
    </row>
    <row r="1190" spans="1:9" x14ac:dyDescent="0.2">
      <c r="A1190" s="1" t="s">
        <v>53</v>
      </c>
      <c r="C1190" s="4"/>
      <c r="D1190" s="8"/>
      <c r="E1190" s="4"/>
      <c r="F1190" s="8"/>
      <c r="G1190" s="4"/>
      <c r="H1190" s="8"/>
      <c r="I1190" s="4"/>
    </row>
    <row r="1191" spans="1:9" x14ac:dyDescent="0.2">
      <c r="A1191" s="2">
        <v>1</v>
      </c>
      <c r="B1191" s="1" t="s">
        <v>88</v>
      </c>
      <c r="C1191" s="4">
        <v>34</v>
      </c>
      <c r="D1191" s="8">
        <v>9.94</v>
      </c>
      <c r="E1191" s="4">
        <v>14</v>
      </c>
      <c r="F1191" s="8">
        <v>9.7200000000000006</v>
      </c>
      <c r="G1191" s="4">
        <v>20</v>
      </c>
      <c r="H1191" s="8">
        <v>10.31</v>
      </c>
      <c r="I1191" s="4">
        <v>0</v>
      </c>
    </row>
    <row r="1192" spans="1:9" x14ac:dyDescent="0.2">
      <c r="A1192" s="2">
        <v>2</v>
      </c>
      <c r="B1192" s="1" t="s">
        <v>89</v>
      </c>
      <c r="C1192" s="4">
        <v>27</v>
      </c>
      <c r="D1192" s="8">
        <v>7.89</v>
      </c>
      <c r="E1192" s="4">
        <v>14</v>
      </c>
      <c r="F1192" s="8">
        <v>9.7200000000000006</v>
      </c>
      <c r="G1192" s="4">
        <v>13</v>
      </c>
      <c r="H1192" s="8">
        <v>6.7</v>
      </c>
      <c r="I1192" s="4">
        <v>0</v>
      </c>
    </row>
    <row r="1193" spans="1:9" x14ac:dyDescent="0.2">
      <c r="A1193" s="2">
        <v>3</v>
      </c>
      <c r="B1193" s="1" t="s">
        <v>98</v>
      </c>
      <c r="C1193" s="4">
        <v>23</v>
      </c>
      <c r="D1193" s="8">
        <v>6.73</v>
      </c>
      <c r="E1193" s="4">
        <v>11</v>
      </c>
      <c r="F1193" s="8">
        <v>7.64</v>
      </c>
      <c r="G1193" s="4">
        <v>12</v>
      </c>
      <c r="H1193" s="8">
        <v>6.19</v>
      </c>
      <c r="I1193" s="4">
        <v>0</v>
      </c>
    </row>
    <row r="1194" spans="1:9" x14ac:dyDescent="0.2">
      <c r="A1194" s="2">
        <v>4</v>
      </c>
      <c r="B1194" s="1" t="s">
        <v>104</v>
      </c>
      <c r="C1194" s="4">
        <v>22</v>
      </c>
      <c r="D1194" s="8">
        <v>6.43</v>
      </c>
      <c r="E1194" s="4">
        <v>20</v>
      </c>
      <c r="F1194" s="8">
        <v>13.89</v>
      </c>
      <c r="G1194" s="4">
        <v>2</v>
      </c>
      <c r="H1194" s="8">
        <v>1.03</v>
      </c>
      <c r="I1194" s="4">
        <v>0</v>
      </c>
    </row>
    <row r="1195" spans="1:9" x14ac:dyDescent="0.2">
      <c r="A1195" s="2">
        <v>5</v>
      </c>
      <c r="B1195" s="1" t="s">
        <v>117</v>
      </c>
      <c r="C1195" s="4">
        <v>19</v>
      </c>
      <c r="D1195" s="8">
        <v>5.56</v>
      </c>
      <c r="E1195" s="4">
        <v>7</v>
      </c>
      <c r="F1195" s="8">
        <v>4.8600000000000003</v>
      </c>
      <c r="G1195" s="4">
        <v>12</v>
      </c>
      <c r="H1195" s="8">
        <v>6.19</v>
      </c>
      <c r="I1195" s="4">
        <v>0</v>
      </c>
    </row>
    <row r="1196" spans="1:9" x14ac:dyDescent="0.2">
      <c r="A1196" s="2">
        <v>5</v>
      </c>
      <c r="B1196" s="1" t="s">
        <v>103</v>
      </c>
      <c r="C1196" s="4">
        <v>19</v>
      </c>
      <c r="D1196" s="8">
        <v>5.56</v>
      </c>
      <c r="E1196" s="4">
        <v>17</v>
      </c>
      <c r="F1196" s="8">
        <v>11.81</v>
      </c>
      <c r="G1196" s="4">
        <v>2</v>
      </c>
      <c r="H1196" s="8">
        <v>1.03</v>
      </c>
      <c r="I1196" s="4">
        <v>0</v>
      </c>
    </row>
    <row r="1197" spans="1:9" x14ac:dyDescent="0.2">
      <c r="A1197" s="2">
        <v>7</v>
      </c>
      <c r="B1197" s="1" t="s">
        <v>90</v>
      </c>
      <c r="C1197" s="4">
        <v>14</v>
      </c>
      <c r="D1197" s="8">
        <v>4.09</v>
      </c>
      <c r="E1197" s="4">
        <v>1</v>
      </c>
      <c r="F1197" s="8">
        <v>0.69</v>
      </c>
      <c r="G1197" s="4">
        <v>13</v>
      </c>
      <c r="H1197" s="8">
        <v>6.7</v>
      </c>
      <c r="I1197" s="4">
        <v>0</v>
      </c>
    </row>
    <row r="1198" spans="1:9" x14ac:dyDescent="0.2">
      <c r="A1198" s="2">
        <v>8</v>
      </c>
      <c r="B1198" s="1" t="s">
        <v>100</v>
      </c>
      <c r="C1198" s="4">
        <v>12</v>
      </c>
      <c r="D1198" s="8">
        <v>3.51</v>
      </c>
      <c r="E1198" s="4">
        <v>2</v>
      </c>
      <c r="F1198" s="8">
        <v>1.39</v>
      </c>
      <c r="G1198" s="4">
        <v>10</v>
      </c>
      <c r="H1198" s="8">
        <v>5.15</v>
      </c>
      <c r="I1198" s="4">
        <v>0</v>
      </c>
    </row>
    <row r="1199" spans="1:9" x14ac:dyDescent="0.2">
      <c r="A1199" s="2">
        <v>8</v>
      </c>
      <c r="B1199" s="1" t="s">
        <v>132</v>
      </c>
      <c r="C1199" s="4">
        <v>12</v>
      </c>
      <c r="D1199" s="8">
        <v>3.51</v>
      </c>
      <c r="E1199" s="4">
        <v>1</v>
      </c>
      <c r="F1199" s="8">
        <v>0.69</v>
      </c>
      <c r="G1199" s="4">
        <v>9</v>
      </c>
      <c r="H1199" s="8">
        <v>4.6399999999999997</v>
      </c>
      <c r="I1199" s="4">
        <v>0</v>
      </c>
    </row>
    <row r="1200" spans="1:9" x14ac:dyDescent="0.2">
      <c r="A1200" s="2">
        <v>10</v>
      </c>
      <c r="B1200" s="1" t="s">
        <v>95</v>
      </c>
      <c r="C1200" s="4">
        <v>11</v>
      </c>
      <c r="D1200" s="8">
        <v>3.22</v>
      </c>
      <c r="E1200" s="4">
        <v>4</v>
      </c>
      <c r="F1200" s="8">
        <v>2.78</v>
      </c>
      <c r="G1200" s="4">
        <v>7</v>
      </c>
      <c r="H1200" s="8">
        <v>3.61</v>
      </c>
      <c r="I1200" s="4">
        <v>0</v>
      </c>
    </row>
    <row r="1201" spans="1:9" x14ac:dyDescent="0.2">
      <c r="A1201" s="2">
        <v>10</v>
      </c>
      <c r="B1201" s="1" t="s">
        <v>97</v>
      </c>
      <c r="C1201" s="4">
        <v>11</v>
      </c>
      <c r="D1201" s="8">
        <v>3.22</v>
      </c>
      <c r="E1201" s="4">
        <v>4</v>
      </c>
      <c r="F1201" s="8">
        <v>2.78</v>
      </c>
      <c r="G1201" s="4">
        <v>7</v>
      </c>
      <c r="H1201" s="8">
        <v>3.61</v>
      </c>
      <c r="I1201" s="4">
        <v>0</v>
      </c>
    </row>
    <row r="1202" spans="1:9" x14ac:dyDescent="0.2">
      <c r="A1202" s="2">
        <v>12</v>
      </c>
      <c r="B1202" s="1" t="s">
        <v>105</v>
      </c>
      <c r="C1202" s="4">
        <v>10</v>
      </c>
      <c r="D1202" s="8">
        <v>2.92</v>
      </c>
      <c r="E1202" s="4">
        <v>9</v>
      </c>
      <c r="F1202" s="8">
        <v>6.25</v>
      </c>
      <c r="G1202" s="4">
        <v>1</v>
      </c>
      <c r="H1202" s="8">
        <v>0.52</v>
      </c>
      <c r="I1202" s="4">
        <v>0</v>
      </c>
    </row>
    <row r="1203" spans="1:9" x14ac:dyDescent="0.2">
      <c r="A1203" s="2">
        <v>13</v>
      </c>
      <c r="B1203" s="1" t="s">
        <v>96</v>
      </c>
      <c r="C1203" s="4">
        <v>9</v>
      </c>
      <c r="D1203" s="8">
        <v>2.63</v>
      </c>
      <c r="E1203" s="4">
        <v>7</v>
      </c>
      <c r="F1203" s="8">
        <v>4.8600000000000003</v>
      </c>
      <c r="G1203" s="4">
        <v>2</v>
      </c>
      <c r="H1203" s="8">
        <v>1.03</v>
      </c>
      <c r="I1203" s="4">
        <v>0</v>
      </c>
    </row>
    <row r="1204" spans="1:9" x14ac:dyDescent="0.2">
      <c r="A1204" s="2">
        <v>14</v>
      </c>
      <c r="B1204" s="1" t="s">
        <v>110</v>
      </c>
      <c r="C1204" s="4">
        <v>8</v>
      </c>
      <c r="D1204" s="8">
        <v>2.34</v>
      </c>
      <c r="E1204" s="4">
        <v>2</v>
      </c>
      <c r="F1204" s="8">
        <v>1.39</v>
      </c>
      <c r="G1204" s="4">
        <v>6</v>
      </c>
      <c r="H1204" s="8">
        <v>3.09</v>
      </c>
      <c r="I1204" s="4">
        <v>0</v>
      </c>
    </row>
    <row r="1205" spans="1:9" x14ac:dyDescent="0.2">
      <c r="A1205" s="2">
        <v>14</v>
      </c>
      <c r="B1205" s="1" t="s">
        <v>115</v>
      </c>
      <c r="C1205" s="4">
        <v>8</v>
      </c>
      <c r="D1205" s="8">
        <v>2.34</v>
      </c>
      <c r="E1205" s="4">
        <v>3</v>
      </c>
      <c r="F1205" s="8">
        <v>2.08</v>
      </c>
      <c r="G1205" s="4">
        <v>4</v>
      </c>
      <c r="H1205" s="8">
        <v>2.06</v>
      </c>
      <c r="I1205" s="4">
        <v>0</v>
      </c>
    </row>
    <row r="1206" spans="1:9" x14ac:dyDescent="0.2">
      <c r="A1206" s="2">
        <v>16</v>
      </c>
      <c r="B1206" s="1" t="s">
        <v>136</v>
      </c>
      <c r="C1206" s="4">
        <v>7</v>
      </c>
      <c r="D1206" s="8">
        <v>2.0499999999999998</v>
      </c>
      <c r="E1206" s="4">
        <v>2</v>
      </c>
      <c r="F1206" s="8">
        <v>1.39</v>
      </c>
      <c r="G1206" s="4">
        <v>5</v>
      </c>
      <c r="H1206" s="8">
        <v>2.58</v>
      </c>
      <c r="I1206" s="4">
        <v>0</v>
      </c>
    </row>
    <row r="1207" spans="1:9" x14ac:dyDescent="0.2">
      <c r="A1207" s="2">
        <v>16</v>
      </c>
      <c r="B1207" s="1" t="s">
        <v>106</v>
      </c>
      <c r="C1207" s="4">
        <v>7</v>
      </c>
      <c r="D1207" s="8">
        <v>2.0499999999999998</v>
      </c>
      <c r="E1207" s="4">
        <v>6</v>
      </c>
      <c r="F1207" s="8">
        <v>4.17</v>
      </c>
      <c r="G1207" s="4">
        <v>1</v>
      </c>
      <c r="H1207" s="8">
        <v>0.52</v>
      </c>
      <c r="I1207" s="4">
        <v>0</v>
      </c>
    </row>
    <row r="1208" spans="1:9" x14ac:dyDescent="0.2">
      <c r="A1208" s="2">
        <v>16</v>
      </c>
      <c r="B1208" s="1" t="s">
        <v>133</v>
      </c>
      <c r="C1208" s="4">
        <v>7</v>
      </c>
      <c r="D1208" s="8">
        <v>2.0499999999999998</v>
      </c>
      <c r="E1208" s="4">
        <v>4</v>
      </c>
      <c r="F1208" s="8">
        <v>2.78</v>
      </c>
      <c r="G1208" s="4">
        <v>3</v>
      </c>
      <c r="H1208" s="8">
        <v>1.55</v>
      </c>
      <c r="I1208" s="4">
        <v>0</v>
      </c>
    </row>
    <row r="1209" spans="1:9" x14ac:dyDescent="0.2">
      <c r="A1209" s="2">
        <v>19</v>
      </c>
      <c r="B1209" s="1" t="s">
        <v>137</v>
      </c>
      <c r="C1209" s="4">
        <v>6</v>
      </c>
      <c r="D1209" s="8">
        <v>1.75</v>
      </c>
      <c r="E1209" s="4">
        <v>4</v>
      </c>
      <c r="F1209" s="8">
        <v>2.78</v>
      </c>
      <c r="G1209" s="4">
        <v>2</v>
      </c>
      <c r="H1209" s="8">
        <v>1.03</v>
      </c>
      <c r="I1209" s="4">
        <v>0</v>
      </c>
    </row>
    <row r="1210" spans="1:9" x14ac:dyDescent="0.2">
      <c r="A1210" s="2">
        <v>19</v>
      </c>
      <c r="B1210" s="1" t="s">
        <v>129</v>
      </c>
      <c r="C1210" s="4">
        <v>6</v>
      </c>
      <c r="D1210" s="8">
        <v>1.75</v>
      </c>
      <c r="E1210" s="4">
        <v>2</v>
      </c>
      <c r="F1210" s="8">
        <v>1.39</v>
      </c>
      <c r="G1210" s="4">
        <v>4</v>
      </c>
      <c r="H1210" s="8">
        <v>2.06</v>
      </c>
      <c r="I1210" s="4">
        <v>0</v>
      </c>
    </row>
    <row r="1211" spans="1:9" x14ac:dyDescent="0.2">
      <c r="A1211" s="1"/>
      <c r="C1211" s="4"/>
      <c r="D1211" s="8"/>
      <c r="E1211" s="4"/>
      <c r="F1211" s="8"/>
      <c r="G1211" s="4"/>
      <c r="H1211" s="8"/>
      <c r="I1211" s="4"/>
    </row>
    <row r="1212" spans="1:9" x14ac:dyDescent="0.2">
      <c r="A1212" s="1" t="s">
        <v>54</v>
      </c>
      <c r="C1212" s="4"/>
      <c r="D1212" s="8"/>
      <c r="E1212" s="4"/>
      <c r="F1212" s="8"/>
      <c r="G1212" s="4"/>
      <c r="H1212" s="8"/>
      <c r="I1212" s="4"/>
    </row>
    <row r="1213" spans="1:9" x14ac:dyDescent="0.2">
      <c r="A1213" s="2">
        <v>1</v>
      </c>
      <c r="B1213" s="1" t="s">
        <v>88</v>
      </c>
      <c r="C1213" s="4">
        <v>15</v>
      </c>
      <c r="D1213" s="8">
        <v>13.51</v>
      </c>
      <c r="E1213" s="4">
        <v>7</v>
      </c>
      <c r="F1213" s="8">
        <v>9.59</v>
      </c>
      <c r="G1213" s="4">
        <v>8</v>
      </c>
      <c r="H1213" s="8">
        <v>22.86</v>
      </c>
      <c r="I1213" s="4">
        <v>0</v>
      </c>
    </row>
    <row r="1214" spans="1:9" x14ac:dyDescent="0.2">
      <c r="A1214" s="2">
        <v>2</v>
      </c>
      <c r="B1214" s="1" t="s">
        <v>144</v>
      </c>
      <c r="C1214" s="4">
        <v>14</v>
      </c>
      <c r="D1214" s="8">
        <v>12.61</v>
      </c>
      <c r="E1214" s="4">
        <v>10</v>
      </c>
      <c r="F1214" s="8">
        <v>13.7</v>
      </c>
      <c r="G1214" s="4">
        <v>4</v>
      </c>
      <c r="H1214" s="8">
        <v>11.43</v>
      </c>
      <c r="I1214" s="4">
        <v>0</v>
      </c>
    </row>
    <row r="1215" spans="1:9" x14ac:dyDescent="0.2">
      <c r="A1215" s="2">
        <v>3</v>
      </c>
      <c r="B1215" s="1" t="s">
        <v>96</v>
      </c>
      <c r="C1215" s="4">
        <v>10</v>
      </c>
      <c r="D1215" s="8">
        <v>9.01</v>
      </c>
      <c r="E1215" s="4">
        <v>8</v>
      </c>
      <c r="F1215" s="8">
        <v>10.96</v>
      </c>
      <c r="G1215" s="4">
        <v>2</v>
      </c>
      <c r="H1215" s="8">
        <v>5.71</v>
      </c>
      <c r="I1215" s="4">
        <v>0</v>
      </c>
    </row>
    <row r="1216" spans="1:9" x14ac:dyDescent="0.2">
      <c r="A1216" s="2">
        <v>3</v>
      </c>
      <c r="B1216" s="1" t="s">
        <v>103</v>
      </c>
      <c r="C1216" s="4">
        <v>10</v>
      </c>
      <c r="D1216" s="8">
        <v>9.01</v>
      </c>
      <c r="E1216" s="4">
        <v>9</v>
      </c>
      <c r="F1216" s="8">
        <v>12.33</v>
      </c>
      <c r="G1216" s="4">
        <v>1</v>
      </c>
      <c r="H1216" s="8">
        <v>2.86</v>
      </c>
      <c r="I1216" s="4">
        <v>0</v>
      </c>
    </row>
    <row r="1217" spans="1:9" x14ac:dyDescent="0.2">
      <c r="A1217" s="2">
        <v>5</v>
      </c>
      <c r="B1217" s="1" t="s">
        <v>98</v>
      </c>
      <c r="C1217" s="4">
        <v>9</v>
      </c>
      <c r="D1217" s="8">
        <v>8.11</v>
      </c>
      <c r="E1217" s="4">
        <v>7</v>
      </c>
      <c r="F1217" s="8">
        <v>9.59</v>
      </c>
      <c r="G1217" s="4">
        <v>2</v>
      </c>
      <c r="H1217" s="8">
        <v>5.71</v>
      </c>
      <c r="I1217" s="4">
        <v>0</v>
      </c>
    </row>
    <row r="1218" spans="1:9" x14ac:dyDescent="0.2">
      <c r="A1218" s="2">
        <v>6</v>
      </c>
      <c r="B1218" s="1" t="s">
        <v>89</v>
      </c>
      <c r="C1218" s="4">
        <v>7</v>
      </c>
      <c r="D1218" s="8">
        <v>6.31</v>
      </c>
      <c r="E1218" s="4">
        <v>6</v>
      </c>
      <c r="F1218" s="8">
        <v>8.2200000000000006</v>
      </c>
      <c r="G1218" s="4">
        <v>1</v>
      </c>
      <c r="H1218" s="8">
        <v>2.86</v>
      </c>
      <c r="I1218" s="4">
        <v>0</v>
      </c>
    </row>
    <row r="1219" spans="1:9" x14ac:dyDescent="0.2">
      <c r="A1219" s="2">
        <v>7</v>
      </c>
      <c r="B1219" s="1" t="s">
        <v>136</v>
      </c>
      <c r="C1219" s="4">
        <v>6</v>
      </c>
      <c r="D1219" s="8">
        <v>5.41</v>
      </c>
      <c r="E1219" s="4">
        <v>2</v>
      </c>
      <c r="F1219" s="8">
        <v>2.74</v>
      </c>
      <c r="G1219" s="4">
        <v>4</v>
      </c>
      <c r="H1219" s="8">
        <v>11.43</v>
      </c>
      <c r="I1219" s="4">
        <v>0</v>
      </c>
    </row>
    <row r="1220" spans="1:9" x14ac:dyDescent="0.2">
      <c r="A1220" s="2">
        <v>7</v>
      </c>
      <c r="B1220" s="1" t="s">
        <v>104</v>
      </c>
      <c r="C1220" s="4">
        <v>6</v>
      </c>
      <c r="D1220" s="8">
        <v>5.41</v>
      </c>
      <c r="E1220" s="4">
        <v>6</v>
      </c>
      <c r="F1220" s="8">
        <v>8.2200000000000006</v>
      </c>
      <c r="G1220" s="4">
        <v>0</v>
      </c>
      <c r="H1220" s="8">
        <v>0</v>
      </c>
      <c r="I1220" s="4">
        <v>0</v>
      </c>
    </row>
    <row r="1221" spans="1:9" x14ac:dyDescent="0.2">
      <c r="A1221" s="2">
        <v>9</v>
      </c>
      <c r="B1221" s="1" t="s">
        <v>90</v>
      </c>
      <c r="C1221" s="4">
        <v>3</v>
      </c>
      <c r="D1221" s="8">
        <v>2.7</v>
      </c>
      <c r="E1221" s="4">
        <v>3</v>
      </c>
      <c r="F1221" s="8">
        <v>4.1100000000000003</v>
      </c>
      <c r="G1221" s="4">
        <v>0</v>
      </c>
      <c r="H1221" s="8">
        <v>0</v>
      </c>
      <c r="I1221" s="4">
        <v>0</v>
      </c>
    </row>
    <row r="1222" spans="1:9" x14ac:dyDescent="0.2">
      <c r="A1222" s="2">
        <v>9</v>
      </c>
      <c r="B1222" s="1" t="s">
        <v>105</v>
      </c>
      <c r="C1222" s="4">
        <v>3</v>
      </c>
      <c r="D1222" s="8">
        <v>2.7</v>
      </c>
      <c r="E1222" s="4">
        <v>2</v>
      </c>
      <c r="F1222" s="8">
        <v>2.74</v>
      </c>
      <c r="G1222" s="4">
        <v>0</v>
      </c>
      <c r="H1222" s="8">
        <v>0</v>
      </c>
      <c r="I1222" s="4">
        <v>0</v>
      </c>
    </row>
    <row r="1223" spans="1:9" x14ac:dyDescent="0.2">
      <c r="A1223" s="2">
        <v>11</v>
      </c>
      <c r="B1223" s="1" t="s">
        <v>140</v>
      </c>
      <c r="C1223" s="4">
        <v>2</v>
      </c>
      <c r="D1223" s="8">
        <v>1.8</v>
      </c>
      <c r="E1223" s="4">
        <v>0</v>
      </c>
      <c r="F1223" s="8">
        <v>0</v>
      </c>
      <c r="G1223" s="4">
        <v>2</v>
      </c>
      <c r="H1223" s="8">
        <v>5.71</v>
      </c>
      <c r="I1223" s="4">
        <v>0</v>
      </c>
    </row>
    <row r="1224" spans="1:9" x14ac:dyDescent="0.2">
      <c r="A1224" s="2">
        <v>11</v>
      </c>
      <c r="B1224" s="1" t="s">
        <v>100</v>
      </c>
      <c r="C1224" s="4">
        <v>2</v>
      </c>
      <c r="D1224" s="8">
        <v>1.8</v>
      </c>
      <c r="E1224" s="4">
        <v>1</v>
      </c>
      <c r="F1224" s="8">
        <v>1.37</v>
      </c>
      <c r="G1224" s="4">
        <v>1</v>
      </c>
      <c r="H1224" s="8">
        <v>2.86</v>
      </c>
      <c r="I1224" s="4">
        <v>0</v>
      </c>
    </row>
    <row r="1225" spans="1:9" x14ac:dyDescent="0.2">
      <c r="A1225" s="2">
        <v>11</v>
      </c>
      <c r="B1225" s="1" t="s">
        <v>115</v>
      </c>
      <c r="C1225" s="4">
        <v>2</v>
      </c>
      <c r="D1225" s="8">
        <v>1.8</v>
      </c>
      <c r="E1225" s="4">
        <v>1</v>
      </c>
      <c r="F1225" s="8">
        <v>1.37</v>
      </c>
      <c r="G1225" s="4">
        <v>1</v>
      </c>
      <c r="H1225" s="8">
        <v>2.86</v>
      </c>
      <c r="I1225" s="4">
        <v>0</v>
      </c>
    </row>
    <row r="1226" spans="1:9" x14ac:dyDescent="0.2">
      <c r="A1226" s="2">
        <v>11</v>
      </c>
      <c r="B1226" s="1" t="s">
        <v>107</v>
      </c>
      <c r="C1226" s="4">
        <v>2</v>
      </c>
      <c r="D1226" s="8">
        <v>1.8</v>
      </c>
      <c r="E1226" s="4">
        <v>1</v>
      </c>
      <c r="F1226" s="8">
        <v>1.37</v>
      </c>
      <c r="G1226" s="4">
        <v>1</v>
      </c>
      <c r="H1226" s="8">
        <v>2.86</v>
      </c>
      <c r="I1226" s="4">
        <v>0</v>
      </c>
    </row>
    <row r="1227" spans="1:9" x14ac:dyDescent="0.2">
      <c r="A1227" s="2">
        <v>15</v>
      </c>
      <c r="B1227" s="1" t="s">
        <v>138</v>
      </c>
      <c r="C1227" s="4">
        <v>1</v>
      </c>
      <c r="D1227" s="8">
        <v>0.9</v>
      </c>
      <c r="E1227" s="4">
        <v>1</v>
      </c>
      <c r="F1227" s="8">
        <v>1.37</v>
      </c>
      <c r="G1227" s="4">
        <v>0</v>
      </c>
      <c r="H1227" s="8">
        <v>0</v>
      </c>
      <c r="I1227" s="4">
        <v>0</v>
      </c>
    </row>
    <row r="1228" spans="1:9" x14ac:dyDescent="0.2">
      <c r="A1228" s="2">
        <v>15</v>
      </c>
      <c r="B1228" s="1" t="s">
        <v>118</v>
      </c>
      <c r="C1228" s="4">
        <v>1</v>
      </c>
      <c r="D1228" s="8">
        <v>0.9</v>
      </c>
      <c r="E1228" s="4">
        <v>1</v>
      </c>
      <c r="F1228" s="8">
        <v>1.37</v>
      </c>
      <c r="G1228" s="4">
        <v>0</v>
      </c>
      <c r="H1228" s="8">
        <v>0</v>
      </c>
      <c r="I1228" s="4">
        <v>0</v>
      </c>
    </row>
    <row r="1229" spans="1:9" x14ac:dyDescent="0.2">
      <c r="A1229" s="2">
        <v>15</v>
      </c>
      <c r="B1229" s="1" t="s">
        <v>139</v>
      </c>
      <c r="C1229" s="4">
        <v>1</v>
      </c>
      <c r="D1229" s="8">
        <v>0.9</v>
      </c>
      <c r="E1229" s="4">
        <v>1</v>
      </c>
      <c r="F1229" s="8">
        <v>1.37</v>
      </c>
      <c r="G1229" s="4">
        <v>0</v>
      </c>
      <c r="H1229" s="8">
        <v>0</v>
      </c>
      <c r="I1229" s="4">
        <v>0</v>
      </c>
    </row>
    <row r="1230" spans="1:9" x14ac:dyDescent="0.2">
      <c r="A1230" s="2">
        <v>15</v>
      </c>
      <c r="B1230" s="1" t="s">
        <v>134</v>
      </c>
      <c r="C1230" s="4">
        <v>1</v>
      </c>
      <c r="D1230" s="8">
        <v>0.9</v>
      </c>
      <c r="E1230" s="4">
        <v>1</v>
      </c>
      <c r="F1230" s="8">
        <v>1.37</v>
      </c>
      <c r="G1230" s="4">
        <v>0</v>
      </c>
      <c r="H1230" s="8">
        <v>0</v>
      </c>
      <c r="I1230" s="4">
        <v>0</v>
      </c>
    </row>
    <row r="1231" spans="1:9" x14ac:dyDescent="0.2">
      <c r="A1231" s="2">
        <v>15</v>
      </c>
      <c r="B1231" s="1" t="s">
        <v>135</v>
      </c>
      <c r="C1231" s="4">
        <v>1</v>
      </c>
      <c r="D1231" s="8">
        <v>0.9</v>
      </c>
      <c r="E1231" s="4">
        <v>0</v>
      </c>
      <c r="F1231" s="8">
        <v>0</v>
      </c>
      <c r="G1231" s="4">
        <v>1</v>
      </c>
      <c r="H1231" s="8">
        <v>2.86</v>
      </c>
      <c r="I1231" s="4">
        <v>0</v>
      </c>
    </row>
    <row r="1232" spans="1:9" x14ac:dyDescent="0.2">
      <c r="A1232" s="2">
        <v>15</v>
      </c>
      <c r="B1232" s="1" t="s">
        <v>141</v>
      </c>
      <c r="C1232" s="4">
        <v>1</v>
      </c>
      <c r="D1232" s="8">
        <v>0.9</v>
      </c>
      <c r="E1232" s="4">
        <v>0</v>
      </c>
      <c r="F1232" s="8">
        <v>0</v>
      </c>
      <c r="G1232" s="4">
        <v>0</v>
      </c>
      <c r="H1232" s="8">
        <v>0</v>
      </c>
      <c r="I1232" s="4">
        <v>0</v>
      </c>
    </row>
    <row r="1233" spans="1:9" x14ac:dyDescent="0.2">
      <c r="A1233" s="2">
        <v>15</v>
      </c>
      <c r="B1233" s="1" t="s">
        <v>91</v>
      </c>
      <c r="C1233" s="4">
        <v>1</v>
      </c>
      <c r="D1233" s="8">
        <v>0.9</v>
      </c>
      <c r="E1233" s="4">
        <v>0</v>
      </c>
      <c r="F1233" s="8">
        <v>0</v>
      </c>
      <c r="G1233" s="4">
        <v>1</v>
      </c>
      <c r="H1233" s="8">
        <v>2.86</v>
      </c>
      <c r="I1233" s="4">
        <v>0</v>
      </c>
    </row>
    <row r="1234" spans="1:9" x14ac:dyDescent="0.2">
      <c r="A1234" s="2">
        <v>15</v>
      </c>
      <c r="B1234" s="1" t="s">
        <v>112</v>
      </c>
      <c r="C1234" s="4">
        <v>1</v>
      </c>
      <c r="D1234" s="8">
        <v>0.9</v>
      </c>
      <c r="E1234" s="4">
        <v>0</v>
      </c>
      <c r="F1234" s="8">
        <v>0</v>
      </c>
      <c r="G1234" s="4">
        <v>1</v>
      </c>
      <c r="H1234" s="8">
        <v>2.86</v>
      </c>
      <c r="I1234" s="4">
        <v>0</v>
      </c>
    </row>
    <row r="1235" spans="1:9" x14ac:dyDescent="0.2">
      <c r="A1235" s="2">
        <v>15</v>
      </c>
      <c r="B1235" s="1" t="s">
        <v>109</v>
      </c>
      <c r="C1235" s="4">
        <v>1</v>
      </c>
      <c r="D1235" s="8">
        <v>0.9</v>
      </c>
      <c r="E1235" s="4">
        <v>1</v>
      </c>
      <c r="F1235" s="8">
        <v>1.37</v>
      </c>
      <c r="G1235" s="4">
        <v>0</v>
      </c>
      <c r="H1235" s="8">
        <v>0</v>
      </c>
      <c r="I1235" s="4">
        <v>0</v>
      </c>
    </row>
    <row r="1236" spans="1:9" x14ac:dyDescent="0.2">
      <c r="A1236" s="2">
        <v>15</v>
      </c>
      <c r="B1236" s="1" t="s">
        <v>110</v>
      </c>
      <c r="C1236" s="4">
        <v>1</v>
      </c>
      <c r="D1236" s="8">
        <v>0.9</v>
      </c>
      <c r="E1236" s="4">
        <v>1</v>
      </c>
      <c r="F1236" s="8">
        <v>1.37</v>
      </c>
      <c r="G1236" s="4">
        <v>0</v>
      </c>
      <c r="H1236" s="8">
        <v>0</v>
      </c>
      <c r="I1236" s="4">
        <v>0</v>
      </c>
    </row>
    <row r="1237" spans="1:9" x14ac:dyDescent="0.2">
      <c r="A1237" s="2">
        <v>15</v>
      </c>
      <c r="B1237" s="1" t="s">
        <v>94</v>
      </c>
      <c r="C1237" s="4">
        <v>1</v>
      </c>
      <c r="D1237" s="8">
        <v>0.9</v>
      </c>
      <c r="E1237" s="4">
        <v>1</v>
      </c>
      <c r="F1237" s="8">
        <v>1.37</v>
      </c>
      <c r="G1237" s="4">
        <v>0</v>
      </c>
      <c r="H1237" s="8">
        <v>0</v>
      </c>
      <c r="I1237" s="4">
        <v>0</v>
      </c>
    </row>
    <row r="1238" spans="1:9" x14ac:dyDescent="0.2">
      <c r="A1238" s="2">
        <v>15</v>
      </c>
      <c r="B1238" s="1" t="s">
        <v>97</v>
      </c>
      <c r="C1238" s="4">
        <v>1</v>
      </c>
      <c r="D1238" s="8">
        <v>0.9</v>
      </c>
      <c r="E1238" s="4">
        <v>1</v>
      </c>
      <c r="F1238" s="8">
        <v>1.37</v>
      </c>
      <c r="G1238" s="4">
        <v>0</v>
      </c>
      <c r="H1238" s="8">
        <v>0</v>
      </c>
      <c r="I1238" s="4">
        <v>0</v>
      </c>
    </row>
    <row r="1239" spans="1:9" x14ac:dyDescent="0.2">
      <c r="A1239" s="2">
        <v>15</v>
      </c>
      <c r="B1239" s="1" t="s">
        <v>99</v>
      </c>
      <c r="C1239" s="4">
        <v>1</v>
      </c>
      <c r="D1239" s="8">
        <v>0.9</v>
      </c>
      <c r="E1239" s="4">
        <v>0</v>
      </c>
      <c r="F1239" s="8">
        <v>0</v>
      </c>
      <c r="G1239" s="4">
        <v>1</v>
      </c>
      <c r="H1239" s="8">
        <v>2.86</v>
      </c>
      <c r="I1239" s="4">
        <v>0</v>
      </c>
    </row>
    <row r="1240" spans="1:9" x14ac:dyDescent="0.2">
      <c r="A1240" s="2">
        <v>15</v>
      </c>
      <c r="B1240" s="1" t="s">
        <v>142</v>
      </c>
      <c r="C1240" s="4">
        <v>1</v>
      </c>
      <c r="D1240" s="8">
        <v>0.9</v>
      </c>
      <c r="E1240" s="4">
        <v>1</v>
      </c>
      <c r="F1240" s="8">
        <v>1.37</v>
      </c>
      <c r="G1240" s="4">
        <v>0</v>
      </c>
      <c r="H1240" s="8">
        <v>0</v>
      </c>
      <c r="I1240" s="4">
        <v>0</v>
      </c>
    </row>
    <row r="1241" spans="1:9" x14ac:dyDescent="0.2">
      <c r="A1241" s="2">
        <v>15</v>
      </c>
      <c r="B1241" s="1" t="s">
        <v>143</v>
      </c>
      <c r="C1241" s="4">
        <v>1</v>
      </c>
      <c r="D1241" s="8">
        <v>0.9</v>
      </c>
      <c r="E1241" s="4">
        <v>0</v>
      </c>
      <c r="F1241" s="8">
        <v>0</v>
      </c>
      <c r="G1241" s="4">
        <v>1</v>
      </c>
      <c r="H1241" s="8">
        <v>2.86</v>
      </c>
      <c r="I1241" s="4">
        <v>0</v>
      </c>
    </row>
    <row r="1242" spans="1:9" x14ac:dyDescent="0.2">
      <c r="A1242" s="2">
        <v>15</v>
      </c>
      <c r="B1242" s="1" t="s">
        <v>101</v>
      </c>
      <c r="C1242" s="4">
        <v>1</v>
      </c>
      <c r="D1242" s="8">
        <v>0.9</v>
      </c>
      <c r="E1242" s="4">
        <v>1</v>
      </c>
      <c r="F1242" s="8">
        <v>1.37</v>
      </c>
      <c r="G1242" s="4">
        <v>0</v>
      </c>
      <c r="H1242" s="8">
        <v>0</v>
      </c>
      <c r="I1242" s="4">
        <v>0</v>
      </c>
    </row>
    <row r="1243" spans="1:9" x14ac:dyDescent="0.2">
      <c r="A1243" s="2">
        <v>15</v>
      </c>
      <c r="B1243" s="1" t="s">
        <v>102</v>
      </c>
      <c r="C1243" s="4">
        <v>1</v>
      </c>
      <c r="D1243" s="8">
        <v>0.9</v>
      </c>
      <c r="E1243" s="4">
        <v>0</v>
      </c>
      <c r="F1243" s="8">
        <v>0</v>
      </c>
      <c r="G1243" s="4">
        <v>0</v>
      </c>
      <c r="H1243" s="8">
        <v>0</v>
      </c>
      <c r="I1243" s="4">
        <v>0</v>
      </c>
    </row>
    <row r="1244" spans="1:9" x14ac:dyDescent="0.2">
      <c r="A1244" s="2">
        <v>15</v>
      </c>
      <c r="B1244" s="1" t="s">
        <v>132</v>
      </c>
      <c r="C1244" s="4">
        <v>1</v>
      </c>
      <c r="D1244" s="8">
        <v>0.9</v>
      </c>
      <c r="E1244" s="4">
        <v>0</v>
      </c>
      <c r="F1244" s="8">
        <v>0</v>
      </c>
      <c r="G1244" s="4">
        <v>1</v>
      </c>
      <c r="H1244" s="8">
        <v>2.86</v>
      </c>
      <c r="I1244" s="4">
        <v>0</v>
      </c>
    </row>
    <row r="1245" spans="1:9" x14ac:dyDescent="0.2">
      <c r="A1245" s="2">
        <v>15</v>
      </c>
      <c r="B1245" s="1" t="s">
        <v>133</v>
      </c>
      <c r="C1245" s="4">
        <v>1</v>
      </c>
      <c r="D1245" s="8">
        <v>0.9</v>
      </c>
      <c r="E1245" s="4">
        <v>0</v>
      </c>
      <c r="F1245" s="8">
        <v>0</v>
      </c>
      <c r="G1245" s="4">
        <v>1</v>
      </c>
      <c r="H1245" s="8">
        <v>2.86</v>
      </c>
      <c r="I1245" s="4">
        <v>0</v>
      </c>
    </row>
    <row r="1246" spans="1:9" x14ac:dyDescent="0.2">
      <c r="A1246" s="2">
        <v>15</v>
      </c>
      <c r="B1246" s="1" t="s">
        <v>145</v>
      </c>
      <c r="C1246" s="4">
        <v>1</v>
      </c>
      <c r="D1246" s="8">
        <v>0.9</v>
      </c>
      <c r="E1246" s="4">
        <v>0</v>
      </c>
      <c r="F1246" s="8">
        <v>0</v>
      </c>
      <c r="G1246" s="4">
        <v>1</v>
      </c>
      <c r="H1246" s="8">
        <v>2.86</v>
      </c>
      <c r="I1246" s="4">
        <v>0</v>
      </c>
    </row>
    <row r="1247" spans="1:9" x14ac:dyDescent="0.2">
      <c r="A1247" s="1"/>
      <c r="C1247" s="4"/>
      <c r="D1247" s="8"/>
      <c r="E1247" s="4"/>
      <c r="F1247" s="8"/>
      <c r="G1247" s="4"/>
      <c r="H1247" s="8"/>
      <c r="I1247" s="4"/>
    </row>
    <row r="1248" spans="1:9" x14ac:dyDescent="0.2">
      <c r="A1248" s="1" t="s">
        <v>55</v>
      </c>
      <c r="C1248" s="4"/>
      <c r="D1248" s="8"/>
      <c r="E1248" s="4"/>
      <c r="F1248" s="8"/>
      <c r="G1248" s="4"/>
      <c r="H1248" s="8"/>
      <c r="I1248" s="4"/>
    </row>
    <row r="1249" spans="1:9" x14ac:dyDescent="0.2">
      <c r="A1249" s="2">
        <v>1</v>
      </c>
      <c r="B1249" s="1" t="s">
        <v>103</v>
      </c>
      <c r="C1249" s="4">
        <v>25</v>
      </c>
      <c r="D1249" s="8">
        <v>19.38</v>
      </c>
      <c r="E1249" s="4">
        <v>22</v>
      </c>
      <c r="F1249" s="8">
        <v>30.14</v>
      </c>
      <c r="G1249" s="4">
        <v>3</v>
      </c>
      <c r="H1249" s="8">
        <v>5.66</v>
      </c>
      <c r="I1249" s="4">
        <v>0</v>
      </c>
    </row>
    <row r="1250" spans="1:9" x14ac:dyDescent="0.2">
      <c r="A1250" s="2">
        <v>2</v>
      </c>
      <c r="B1250" s="1" t="s">
        <v>88</v>
      </c>
      <c r="C1250" s="4">
        <v>20</v>
      </c>
      <c r="D1250" s="8">
        <v>15.5</v>
      </c>
      <c r="E1250" s="4">
        <v>11</v>
      </c>
      <c r="F1250" s="8">
        <v>15.07</v>
      </c>
      <c r="G1250" s="4">
        <v>9</v>
      </c>
      <c r="H1250" s="8">
        <v>16.98</v>
      </c>
      <c r="I1250" s="4">
        <v>0</v>
      </c>
    </row>
    <row r="1251" spans="1:9" x14ac:dyDescent="0.2">
      <c r="A1251" s="2">
        <v>3</v>
      </c>
      <c r="B1251" s="1" t="s">
        <v>96</v>
      </c>
      <c r="C1251" s="4">
        <v>14</v>
      </c>
      <c r="D1251" s="8">
        <v>10.85</v>
      </c>
      <c r="E1251" s="4">
        <v>11</v>
      </c>
      <c r="F1251" s="8">
        <v>15.07</v>
      </c>
      <c r="G1251" s="4">
        <v>3</v>
      </c>
      <c r="H1251" s="8">
        <v>5.66</v>
      </c>
      <c r="I1251" s="4">
        <v>0</v>
      </c>
    </row>
    <row r="1252" spans="1:9" x14ac:dyDescent="0.2">
      <c r="A1252" s="2">
        <v>4</v>
      </c>
      <c r="B1252" s="1" t="s">
        <v>98</v>
      </c>
      <c r="C1252" s="4">
        <v>9</v>
      </c>
      <c r="D1252" s="8">
        <v>6.98</v>
      </c>
      <c r="E1252" s="4">
        <v>2</v>
      </c>
      <c r="F1252" s="8">
        <v>2.74</v>
      </c>
      <c r="G1252" s="4">
        <v>7</v>
      </c>
      <c r="H1252" s="8">
        <v>13.21</v>
      </c>
      <c r="I1252" s="4">
        <v>0</v>
      </c>
    </row>
    <row r="1253" spans="1:9" x14ac:dyDescent="0.2">
      <c r="A1253" s="2">
        <v>5</v>
      </c>
      <c r="B1253" s="1" t="s">
        <v>144</v>
      </c>
      <c r="C1253" s="4">
        <v>8</v>
      </c>
      <c r="D1253" s="8">
        <v>6.2</v>
      </c>
      <c r="E1253" s="4">
        <v>6</v>
      </c>
      <c r="F1253" s="8">
        <v>8.2200000000000006</v>
      </c>
      <c r="G1253" s="4">
        <v>2</v>
      </c>
      <c r="H1253" s="8">
        <v>3.77</v>
      </c>
      <c r="I1253" s="4">
        <v>0</v>
      </c>
    </row>
    <row r="1254" spans="1:9" x14ac:dyDescent="0.2">
      <c r="A1254" s="2">
        <v>6</v>
      </c>
      <c r="B1254" s="1" t="s">
        <v>104</v>
      </c>
      <c r="C1254" s="4">
        <v>6</v>
      </c>
      <c r="D1254" s="8">
        <v>4.6500000000000004</v>
      </c>
      <c r="E1254" s="4">
        <v>6</v>
      </c>
      <c r="F1254" s="8">
        <v>8.2200000000000006</v>
      </c>
      <c r="G1254" s="4">
        <v>0</v>
      </c>
      <c r="H1254" s="8">
        <v>0</v>
      </c>
      <c r="I1254" s="4">
        <v>0</v>
      </c>
    </row>
    <row r="1255" spans="1:9" x14ac:dyDescent="0.2">
      <c r="A1255" s="2">
        <v>7</v>
      </c>
      <c r="B1255" s="1" t="s">
        <v>89</v>
      </c>
      <c r="C1255" s="4">
        <v>3</v>
      </c>
      <c r="D1255" s="8">
        <v>2.33</v>
      </c>
      <c r="E1255" s="4">
        <v>2</v>
      </c>
      <c r="F1255" s="8">
        <v>2.74</v>
      </c>
      <c r="G1255" s="4">
        <v>1</v>
      </c>
      <c r="H1255" s="8">
        <v>1.89</v>
      </c>
      <c r="I1255" s="4">
        <v>0</v>
      </c>
    </row>
    <row r="1256" spans="1:9" x14ac:dyDescent="0.2">
      <c r="A1256" s="2">
        <v>7</v>
      </c>
      <c r="B1256" s="1" t="s">
        <v>90</v>
      </c>
      <c r="C1256" s="4">
        <v>3</v>
      </c>
      <c r="D1256" s="8">
        <v>2.33</v>
      </c>
      <c r="E1256" s="4">
        <v>1</v>
      </c>
      <c r="F1256" s="8">
        <v>1.37</v>
      </c>
      <c r="G1256" s="4">
        <v>2</v>
      </c>
      <c r="H1256" s="8">
        <v>3.77</v>
      </c>
      <c r="I1256" s="4">
        <v>0</v>
      </c>
    </row>
    <row r="1257" spans="1:9" x14ac:dyDescent="0.2">
      <c r="A1257" s="2">
        <v>7</v>
      </c>
      <c r="B1257" s="1" t="s">
        <v>114</v>
      </c>
      <c r="C1257" s="4">
        <v>3</v>
      </c>
      <c r="D1257" s="8">
        <v>2.33</v>
      </c>
      <c r="E1257" s="4">
        <v>0</v>
      </c>
      <c r="F1257" s="8">
        <v>0</v>
      </c>
      <c r="G1257" s="4">
        <v>2</v>
      </c>
      <c r="H1257" s="8">
        <v>3.77</v>
      </c>
      <c r="I1257" s="4">
        <v>0</v>
      </c>
    </row>
    <row r="1258" spans="1:9" x14ac:dyDescent="0.2">
      <c r="A1258" s="2">
        <v>10</v>
      </c>
      <c r="B1258" s="1" t="s">
        <v>137</v>
      </c>
      <c r="C1258" s="4">
        <v>2</v>
      </c>
      <c r="D1258" s="8">
        <v>1.55</v>
      </c>
      <c r="E1258" s="4">
        <v>2</v>
      </c>
      <c r="F1258" s="8">
        <v>2.74</v>
      </c>
      <c r="G1258" s="4">
        <v>0</v>
      </c>
      <c r="H1258" s="8">
        <v>0</v>
      </c>
      <c r="I1258" s="4">
        <v>0</v>
      </c>
    </row>
    <row r="1259" spans="1:9" x14ac:dyDescent="0.2">
      <c r="A1259" s="2">
        <v>10</v>
      </c>
      <c r="B1259" s="1" t="s">
        <v>120</v>
      </c>
      <c r="C1259" s="4">
        <v>2</v>
      </c>
      <c r="D1259" s="8">
        <v>1.55</v>
      </c>
      <c r="E1259" s="4">
        <v>0</v>
      </c>
      <c r="F1259" s="8">
        <v>0</v>
      </c>
      <c r="G1259" s="4">
        <v>2</v>
      </c>
      <c r="H1259" s="8">
        <v>3.77</v>
      </c>
      <c r="I1259" s="4">
        <v>0</v>
      </c>
    </row>
    <row r="1260" spans="1:9" x14ac:dyDescent="0.2">
      <c r="A1260" s="2">
        <v>10</v>
      </c>
      <c r="B1260" s="1" t="s">
        <v>127</v>
      </c>
      <c r="C1260" s="4">
        <v>2</v>
      </c>
      <c r="D1260" s="8">
        <v>1.55</v>
      </c>
      <c r="E1260" s="4">
        <v>0</v>
      </c>
      <c r="F1260" s="8">
        <v>0</v>
      </c>
      <c r="G1260" s="4">
        <v>2</v>
      </c>
      <c r="H1260" s="8">
        <v>3.77</v>
      </c>
      <c r="I1260" s="4">
        <v>0</v>
      </c>
    </row>
    <row r="1261" spans="1:9" x14ac:dyDescent="0.2">
      <c r="A1261" s="2">
        <v>10</v>
      </c>
      <c r="B1261" s="1" t="s">
        <v>93</v>
      </c>
      <c r="C1261" s="4">
        <v>2</v>
      </c>
      <c r="D1261" s="8">
        <v>1.55</v>
      </c>
      <c r="E1261" s="4">
        <v>0</v>
      </c>
      <c r="F1261" s="8">
        <v>0</v>
      </c>
      <c r="G1261" s="4">
        <v>2</v>
      </c>
      <c r="H1261" s="8">
        <v>3.77</v>
      </c>
      <c r="I1261" s="4">
        <v>0</v>
      </c>
    </row>
    <row r="1262" spans="1:9" x14ac:dyDescent="0.2">
      <c r="A1262" s="2">
        <v>10</v>
      </c>
      <c r="B1262" s="1" t="s">
        <v>95</v>
      </c>
      <c r="C1262" s="4">
        <v>2</v>
      </c>
      <c r="D1262" s="8">
        <v>1.55</v>
      </c>
      <c r="E1262" s="4">
        <v>1</v>
      </c>
      <c r="F1262" s="8">
        <v>1.37</v>
      </c>
      <c r="G1262" s="4">
        <v>1</v>
      </c>
      <c r="H1262" s="8">
        <v>1.89</v>
      </c>
      <c r="I1262" s="4">
        <v>0</v>
      </c>
    </row>
    <row r="1263" spans="1:9" x14ac:dyDescent="0.2">
      <c r="A1263" s="2">
        <v>10</v>
      </c>
      <c r="B1263" s="1" t="s">
        <v>100</v>
      </c>
      <c r="C1263" s="4">
        <v>2</v>
      </c>
      <c r="D1263" s="8">
        <v>1.55</v>
      </c>
      <c r="E1263" s="4">
        <v>0</v>
      </c>
      <c r="F1263" s="8">
        <v>0</v>
      </c>
      <c r="G1263" s="4">
        <v>2</v>
      </c>
      <c r="H1263" s="8">
        <v>3.77</v>
      </c>
      <c r="I1263" s="4">
        <v>0</v>
      </c>
    </row>
    <row r="1264" spans="1:9" x14ac:dyDescent="0.2">
      <c r="A1264" s="2">
        <v>10</v>
      </c>
      <c r="B1264" s="1" t="s">
        <v>102</v>
      </c>
      <c r="C1264" s="4">
        <v>2</v>
      </c>
      <c r="D1264" s="8">
        <v>1.55</v>
      </c>
      <c r="E1264" s="4">
        <v>1</v>
      </c>
      <c r="F1264" s="8">
        <v>1.37</v>
      </c>
      <c r="G1264" s="4">
        <v>1</v>
      </c>
      <c r="H1264" s="8">
        <v>1.89</v>
      </c>
      <c r="I1264" s="4">
        <v>0</v>
      </c>
    </row>
    <row r="1265" spans="1:9" x14ac:dyDescent="0.2">
      <c r="A1265" s="2">
        <v>10</v>
      </c>
      <c r="B1265" s="1" t="s">
        <v>105</v>
      </c>
      <c r="C1265" s="4">
        <v>2</v>
      </c>
      <c r="D1265" s="8">
        <v>1.55</v>
      </c>
      <c r="E1265" s="4">
        <v>0</v>
      </c>
      <c r="F1265" s="8">
        <v>0</v>
      </c>
      <c r="G1265" s="4">
        <v>1</v>
      </c>
      <c r="H1265" s="8">
        <v>1.89</v>
      </c>
      <c r="I1265" s="4">
        <v>0</v>
      </c>
    </row>
    <row r="1266" spans="1:9" x14ac:dyDescent="0.2">
      <c r="A1266" s="2">
        <v>10</v>
      </c>
      <c r="B1266" s="1" t="s">
        <v>106</v>
      </c>
      <c r="C1266" s="4">
        <v>2</v>
      </c>
      <c r="D1266" s="8">
        <v>1.55</v>
      </c>
      <c r="E1266" s="4">
        <v>1</v>
      </c>
      <c r="F1266" s="8">
        <v>1.37</v>
      </c>
      <c r="G1266" s="4">
        <v>1</v>
      </c>
      <c r="H1266" s="8">
        <v>1.89</v>
      </c>
      <c r="I1266" s="4">
        <v>0</v>
      </c>
    </row>
    <row r="1267" spans="1:9" x14ac:dyDescent="0.2">
      <c r="A1267" s="2">
        <v>19</v>
      </c>
      <c r="B1267" s="1" t="s">
        <v>138</v>
      </c>
      <c r="C1267" s="4">
        <v>1</v>
      </c>
      <c r="D1267" s="8">
        <v>0.78</v>
      </c>
      <c r="E1267" s="4">
        <v>0</v>
      </c>
      <c r="F1267" s="8">
        <v>0</v>
      </c>
      <c r="G1267" s="4">
        <v>1</v>
      </c>
      <c r="H1267" s="8">
        <v>1.89</v>
      </c>
      <c r="I1267" s="4">
        <v>0</v>
      </c>
    </row>
    <row r="1268" spans="1:9" x14ac:dyDescent="0.2">
      <c r="A1268" s="2">
        <v>19</v>
      </c>
      <c r="B1268" s="1" t="s">
        <v>108</v>
      </c>
      <c r="C1268" s="4">
        <v>1</v>
      </c>
      <c r="D1268" s="8">
        <v>0.78</v>
      </c>
      <c r="E1268" s="4">
        <v>1</v>
      </c>
      <c r="F1268" s="8">
        <v>1.37</v>
      </c>
      <c r="G1268" s="4">
        <v>0</v>
      </c>
      <c r="H1268" s="8">
        <v>0</v>
      </c>
      <c r="I1268" s="4">
        <v>0</v>
      </c>
    </row>
    <row r="1269" spans="1:9" x14ac:dyDescent="0.2">
      <c r="A1269" s="2">
        <v>19</v>
      </c>
      <c r="B1269" s="1" t="s">
        <v>146</v>
      </c>
      <c r="C1269" s="4">
        <v>1</v>
      </c>
      <c r="D1269" s="8">
        <v>0.78</v>
      </c>
      <c r="E1269" s="4">
        <v>1</v>
      </c>
      <c r="F1269" s="8">
        <v>1.37</v>
      </c>
      <c r="G1269" s="4">
        <v>0</v>
      </c>
      <c r="H1269" s="8">
        <v>0</v>
      </c>
      <c r="I1269" s="4">
        <v>0</v>
      </c>
    </row>
    <row r="1270" spans="1:9" x14ac:dyDescent="0.2">
      <c r="A1270" s="2">
        <v>19</v>
      </c>
      <c r="B1270" s="1" t="s">
        <v>119</v>
      </c>
      <c r="C1270" s="4">
        <v>1</v>
      </c>
      <c r="D1270" s="8">
        <v>0.78</v>
      </c>
      <c r="E1270" s="4">
        <v>1</v>
      </c>
      <c r="F1270" s="8">
        <v>1.37</v>
      </c>
      <c r="G1270" s="4">
        <v>0</v>
      </c>
      <c r="H1270" s="8">
        <v>0</v>
      </c>
      <c r="I1270" s="4">
        <v>0</v>
      </c>
    </row>
    <row r="1271" spans="1:9" x14ac:dyDescent="0.2">
      <c r="A1271" s="2">
        <v>19</v>
      </c>
      <c r="B1271" s="1" t="s">
        <v>121</v>
      </c>
      <c r="C1271" s="4">
        <v>1</v>
      </c>
      <c r="D1271" s="8">
        <v>0.78</v>
      </c>
      <c r="E1271" s="4">
        <v>0</v>
      </c>
      <c r="F1271" s="8">
        <v>0</v>
      </c>
      <c r="G1271" s="4">
        <v>1</v>
      </c>
      <c r="H1271" s="8">
        <v>1.89</v>
      </c>
      <c r="I1271" s="4">
        <v>0</v>
      </c>
    </row>
    <row r="1272" spans="1:9" x14ac:dyDescent="0.2">
      <c r="A1272" s="2">
        <v>19</v>
      </c>
      <c r="B1272" s="1" t="s">
        <v>147</v>
      </c>
      <c r="C1272" s="4">
        <v>1</v>
      </c>
      <c r="D1272" s="8">
        <v>0.78</v>
      </c>
      <c r="E1272" s="4">
        <v>0</v>
      </c>
      <c r="F1272" s="8">
        <v>0</v>
      </c>
      <c r="G1272" s="4">
        <v>1</v>
      </c>
      <c r="H1272" s="8">
        <v>1.89</v>
      </c>
      <c r="I1272" s="4">
        <v>0</v>
      </c>
    </row>
    <row r="1273" spans="1:9" x14ac:dyDescent="0.2">
      <c r="A1273" s="2">
        <v>19</v>
      </c>
      <c r="B1273" s="1" t="s">
        <v>128</v>
      </c>
      <c r="C1273" s="4">
        <v>1</v>
      </c>
      <c r="D1273" s="8">
        <v>0.78</v>
      </c>
      <c r="E1273" s="4">
        <v>0</v>
      </c>
      <c r="F1273" s="8">
        <v>0</v>
      </c>
      <c r="G1273" s="4">
        <v>1</v>
      </c>
      <c r="H1273" s="8">
        <v>1.89</v>
      </c>
      <c r="I1273" s="4">
        <v>0</v>
      </c>
    </row>
    <row r="1274" spans="1:9" x14ac:dyDescent="0.2">
      <c r="A1274" s="2">
        <v>19</v>
      </c>
      <c r="B1274" s="1" t="s">
        <v>109</v>
      </c>
      <c r="C1274" s="4">
        <v>1</v>
      </c>
      <c r="D1274" s="8">
        <v>0.78</v>
      </c>
      <c r="E1274" s="4">
        <v>1</v>
      </c>
      <c r="F1274" s="8">
        <v>1.37</v>
      </c>
      <c r="G1274" s="4">
        <v>0</v>
      </c>
      <c r="H1274" s="8">
        <v>0</v>
      </c>
      <c r="I1274" s="4">
        <v>0</v>
      </c>
    </row>
    <row r="1275" spans="1:9" x14ac:dyDescent="0.2">
      <c r="A1275" s="2">
        <v>19</v>
      </c>
      <c r="B1275" s="1" t="s">
        <v>94</v>
      </c>
      <c r="C1275" s="4">
        <v>1</v>
      </c>
      <c r="D1275" s="8">
        <v>0.78</v>
      </c>
      <c r="E1275" s="4">
        <v>1</v>
      </c>
      <c r="F1275" s="8">
        <v>1.37</v>
      </c>
      <c r="G1275" s="4">
        <v>0</v>
      </c>
      <c r="H1275" s="8">
        <v>0</v>
      </c>
      <c r="I1275" s="4">
        <v>0</v>
      </c>
    </row>
    <row r="1276" spans="1:9" x14ac:dyDescent="0.2">
      <c r="A1276" s="2">
        <v>19</v>
      </c>
      <c r="B1276" s="1" t="s">
        <v>97</v>
      </c>
      <c r="C1276" s="4">
        <v>1</v>
      </c>
      <c r="D1276" s="8">
        <v>0.78</v>
      </c>
      <c r="E1276" s="4">
        <v>0</v>
      </c>
      <c r="F1276" s="8">
        <v>0</v>
      </c>
      <c r="G1276" s="4">
        <v>1</v>
      </c>
      <c r="H1276" s="8">
        <v>1.89</v>
      </c>
      <c r="I1276" s="4">
        <v>0</v>
      </c>
    </row>
    <row r="1277" spans="1:9" x14ac:dyDescent="0.2">
      <c r="A1277" s="2">
        <v>19</v>
      </c>
      <c r="B1277" s="1" t="s">
        <v>111</v>
      </c>
      <c r="C1277" s="4">
        <v>1</v>
      </c>
      <c r="D1277" s="8">
        <v>0.78</v>
      </c>
      <c r="E1277" s="4">
        <v>0</v>
      </c>
      <c r="F1277" s="8">
        <v>0</v>
      </c>
      <c r="G1277" s="4">
        <v>1</v>
      </c>
      <c r="H1277" s="8">
        <v>1.89</v>
      </c>
      <c r="I1277" s="4">
        <v>0</v>
      </c>
    </row>
    <row r="1278" spans="1:9" x14ac:dyDescent="0.2">
      <c r="A1278" s="2">
        <v>19</v>
      </c>
      <c r="B1278" s="1" t="s">
        <v>99</v>
      </c>
      <c r="C1278" s="4">
        <v>1</v>
      </c>
      <c r="D1278" s="8">
        <v>0.78</v>
      </c>
      <c r="E1278" s="4">
        <v>0</v>
      </c>
      <c r="F1278" s="8">
        <v>0</v>
      </c>
      <c r="G1278" s="4">
        <v>1</v>
      </c>
      <c r="H1278" s="8">
        <v>1.89</v>
      </c>
      <c r="I1278" s="4">
        <v>0</v>
      </c>
    </row>
    <row r="1279" spans="1:9" x14ac:dyDescent="0.2">
      <c r="A1279" s="2">
        <v>19</v>
      </c>
      <c r="B1279" s="1" t="s">
        <v>101</v>
      </c>
      <c r="C1279" s="4">
        <v>1</v>
      </c>
      <c r="D1279" s="8">
        <v>0.78</v>
      </c>
      <c r="E1279" s="4">
        <v>0</v>
      </c>
      <c r="F1279" s="8">
        <v>0</v>
      </c>
      <c r="G1279" s="4">
        <v>1</v>
      </c>
      <c r="H1279" s="8">
        <v>1.89</v>
      </c>
      <c r="I1279" s="4">
        <v>0</v>
      </c>
    </row>
    <row r="1280" spans="1:9" x14ac:dyDescent="0.2">
      <c r="A1280" s="2">
        <v>19</v>
      </c>
      <c r="B1280" s="1" t="s">
        <v>130</v>
      </c>
      <c r="C1280" s="4">
        <v>1</v>
      </c>
      <c r="D1280" s="8">
        <v>0.78</v>
      </c>
      <c r="E1280" s="4">
        <v>0</v>
      </c>
      <c r="F1280" s="8">
        <v>0</v>
      </c>
      <c r="G1280" s="4">
        <v>1</v>
      </c>
      <c r="H1280" s="8">
        <v>1.89</v>
      </c>
      <c r="I1280" s="4">
        <v>0</v>
      </c>
    </row>
    <row r="1281" spans="1:9" x14ac:dyDescent="0.2">
      <c r="A1281" s="2">
        <v>19</v>
      </c>
      <c r="B1281" s="1" t="s">
        <v>115</v>
      </c>
      <c r="C1281" s="4">
        <v>1</v>
      </c>
      <c r="D1281" s="8">
        <v>0.78</v>
      </c>
      <c r="E1281" s="4">
        <v>0</v>
      </c>
      <c r="F1281" s="8">
        <v>0</v>
      </c>
      <c r="G1281" s="4">
        <v>1</v>
      </c>
      <c r="H1281" s="8">
        <v>1.89</v>
      </c>
      <c r="I1281" s="4">
        <v>0</v>
      </c>
    </row>
    <row r="1282" spans="1:9" x14ac:dyDescent="0.2">
      <c r="A1282" s="2">
        <v>19</v>
      </c>
      <c r="B1282" s="1" t="s">
        <v>148</v>
      </c>
      <c r="C1282" s="4">
        <v>1</v>
      </c>
      <c r="D1282" s="8">
        <v>0.78</v>
      </c>
      <c r="E1282" s="4">
        <v>0</v>
      </c>
      <c r="F1282" s="8">
        <v>0</v>
      </c>
      <c r="G1282" s="4">
        <v>0</v>
      </c>
      <c r="H1282" s="8">
        <v>0</v>
      </c>
      <c r="I1282" s="4">
        <v>0</v>
      </c>
    </row>
    <row r="1283" spans="1:9" x14ac:dyDescent="0.2">
      <c r="A1283" s="2">
        <v>19</v>
      </c>
      <c r="B1283" s="1" t="s">
        <v>133</v>
      </c>
      <c r="C1283" s="4">
        <v>1</v>
      </c>
      <c r="D1283" s="8">
        <v>0.78</v>
      </c>
      <c r="E1283" s="4">
        <v>1</v>
      </c>
      <c r="F1283" s="8">
        <v>1.37</v>
      </c>
      <c r="G1283" s="4">
        <v>0</v>
      </c>
      <c r="H1283" s="8">
        <v>0</v>
      </c>
      <c r="I1283" s="4">
        <v>0</v>
      </c>
    </row>
    <row r="1284" spans="1:9" x14ac:dyDescent="0.2">
      <c r="A1284" s="2">
        <v>19</v>
      </c>
      <c r="B1284" s="1" t="s">
        <v>131</v>
      </c>
      <c r="C1284" s="4">
        <v>1</v>
      </c>
      <c r="D1284" s="8">
        <v>0.78</v>
      </c>
      <c r="E1284" s="4">
        <v>1</v>
      </c>
      <c r="F1284" s="8">
        <v>1.37</v>
      </c>
      <c r="G1284" s="4">
        <v>0</v>
      </c>
      <c r="H1284" s="8">
        <v>0</v>
      </c>
      <c r="I1284" s="4">
        <v>0</v>
      </c>
    </row>
    <row r="1285" spans="1:9" x14ac:dyDescent="0.2">
      <c r="A1285" s="2">
        <v>19</v>
      </c>
      <c r="B1285" s="1" t="s">
        <v>145</v>
      </c>
      <c r="C1285" s="4">
        <v>1</v>
      </c>
      <c r="D1285" s="8">
        <v>0.78</v>
      </c>
      <c r="E1285" s="4">
        <v>0</v>
      </c>
      <c r="F1285" s="8">
        <v>0</v>
      </c>
      <c r="G1285" s="4">
        <v>1</v>
      </c>
      <c r="H1285" s="8">
        <v>1.89</v>
      </c>
      <c r="I1285" s="4">
        <v>0</v>
      </c>
    </row>
    <row r="1286" spans="1:9" x14ac:dyDescent="0.2">
      <c r="A1286" s="2">
        <v>19</v>
      </c>
      <c r="B1286" s="1" t="s">
        <v>107</v>
      </c>
      <c r="C1286" s="4">
        <v>1</v>
      </c>
      <c r="D1286" s="8">
        <v>0.78</v>
      </c>
      <c r="E1286" s="4">
        <v>0</v>
      </c>
      <c r="F1286" s="8">
        <v>0</v>
      </c>
      <c r="G1286" s="4">
        <v>1</v>
      </c>
      <c r="H1286" s="8">
        <v>1.89</v>
      </c>
      <c r="I1286" s="4">
        <v>0</v>
      </c>
    </row>
    <row r="1287" spans="1:9" x14ac:dyDescent="0.2">
      <c r="A1287" s="1"/>
      <c r="C1287" s="4"/>
      <c r="D1287" s="8"/>
      <c r="E1287" s="4"/>
      <c r="F1287" s="8"/>
      <c r="G1287" s="4"/>
      <c r="H1287" s="8"/>
      <c r="I1287" s="4"/>
    </row>
    <row r="1288" spans="1:9" x14ac:dyDescent="0.2">
      <c r="A1288" s="1" t="s">
        <v>56</v>
      </c>
      <c r="C1288" s="4"/>
      <c r="D1288" s="8"/>
      <c r="E1288" s="4"/>
      <c r="F1288" s="8"/>
      <c r="G1288" s="4"/>
      <c r="H1288" s="8"/>
      <c r="I1288" s="4"/>
    </row>
    <row r="1289" spans="1:9" x14ac:dyDescent="0.2">
      <c r="A1289" s="2">
        <v>1</v>
      </c>
      <c r="B1289" s="1" t="s">
        <v>144</v>
      </c>
      <c r="C1289" s="4">
        <v>48</v>
      </c>
      <c r="D1289" s="8">
        <v>12.8</v>
      </c>
      <c r="E1289" s="4">
        <v>38</v>
      </c>
      <c r="F1289" s="8">
        <v>16.170000000000002</v>
      </c>
      <c r="G1289" s="4">
        <v>10</v>
      </c>
      <c r="H1289" s="8">
        <v>7.58</v>
      </c>
      <c r="I1289" s="4">
        <v>0</v>
      </c>
    </row>
    <row r="1290" spans="1:9" x14ac:dyDescent="0.2">
      <c r="A1290" s="2">
        <v>2</v>
      </c>
      <c r="B1290" s="1" t="s">
        <v>96</v>
      </c>
      <c r="C1290" s="4">
        <v>42</v>
      </c>
      <c r="D1290" s="8">
        <v>11.2</v>
      </c>
      <c r="E1290" s="4">
        <v>31</v>
      </c>
      <c r="F1290" s="8">
        <v>13.19</v>
      </c>
      <c r="G1290" s="4">
        <v>10</v>
      </c>
      <c r="H1290" s="8">
        <v>7.58</v>
      </c>
      <c r="I1290" s="4">
        <v>0</v>
      </c>
    </row>
    <row r="1291" spans="1:9" x14ac:dyDescent="0.2">
      <c r="A1291" s="2">
        <v>2</v>
      </c>
      <c r="B1291" s="1" t="s">
        <v>103</v>
      </c>
      <c r="C1291" s="4">
        <v>42</v>
      </c>
      <c r="D1291" s="8">
        <v>11.2</v>
      </c>
      <c r="E1291" s="4">
        <v>36</v>
      </c>
      <c r="F1291" s="8">
        <v>15.32</v>
      </c>
      <c r="G1291" s="4">
        <v>6</v>
      </c>
      <c r="H1291" s="8">
        <v>4.55</v>
      </c>
      <c r="I1291" s="4">
        <v>0</v>
      </c>
    </row>
    <row r="1292" spans="1:9" x14ac:dyDescent="0.2">
      <c r="A1292" s="2">
        <v>4</v>
      </c>
      <c r="B1292" s="1" t="s">
        <v>98</v>
      </c>
      <c r="C1292" s="4">
        <v>40</v>
      </c>
      <c r="D1292" s="8">
        <v>10.67</v>
      </c>
      <c r="E1292" s="4">
        <v>26</v>
      </c>
      <c r="F1292" s="8">
        <v>11.06</v>
      </c>
      <c r="G1292" s="4">
        <v>14</v>
      </c>
      <c r="H1292" s="8">
        <v>10.61</v>
      </c>
      <c r="I1292" s="4">
        <v>0</v>
      </c>
    </row>
    <row r="1293" spans="1:9" x14ac:dyDescent="0.2">
      <c r="A1293" s="2">
        <v>5</v>
      </c>
      <c r="B1293" s="1" t="s">
        <v>88</v>
      </c>
      <c r="C1293" s="4">
        <v>30</v>
      </c>
      <c r="D1293" s="8">
        <v>8</v>
      </c>
      <c r="E1293" s="4">
        <v>12</v>
      </c>
      <c r="F1293" s="8">
        <v>5.1100000000000003</v>
      </c>
      <c r="G1293" s="4">
        <v>18</v>
      </c>
      <c r="H1293" s="8">
        <v>13.64</v>
      </c>
      <c r="I1293" s="4">
        <v>0</v>
      </c>
    </row>
    <row r="1294" spans="1:9" x14ac:dyDescent="0.2">
      <c r="A1294" s="2">
        <v>6</v>
      </c>
      <c r="B1294" s="1" t="s">
        <v>104</v>
      </c>
      <c r="C1294" s="4">
        <v>19</v>
      </c>
      <c r="D1294" s="8">
        <v>5.07</v>
      </c>
      <c r="E1294" s="4">
        <v>17</v>
      </c>
      <c r="F1294" s="8">
        <v>7.23</v>
      </c>
      <c r="G1294" s="4">
        <v>2</v>
      </c>
      <c r="H1294" s="8">
        <v>1.52</v>
      </c>
      <c r="I1294" s="4">
        <v>0</v>
      </c>
    </row>
    <row r="1295" spans="1:9" x14ac:dyDescent="0.2">
      <c r="A1295" s="2">
        <v>7</v>
      </c>
      <c r="B1295" s="1" t="s">
        <v>89</v>
      </c>
      <c r="C1295" s="4">
        <v>12</v>
      </c>
      <c r="D1295" s="8">
        <v>3.2</v>
      </c>
      <c r="E1295" s="4">
        <v>8</v>
      </c>
      <c r="F1295" s="8">
        <v>3.4</v>
      </c>
      <c r="G1295" s="4">
        <v>4</v>
      </c>
      <c r="H1295" s="8">
        <v>3.03</v>
      </c>
      <c r="I1295" s="4">
        <v>0</v>
      </c>
    </row>
    <row r="1296" spans="1:9" x14ac:dyDescent="0.2">
      <c r="A1296" s="2">
        <v>7</v>
      </c>
      <c r="B1296" s="1" t="s">
        <v>138</v>
      </c>
      <c r="C1296" s="4">
        <v>12</v>
      </c>
      <c r="D1296" s="8">
        <v>3.2</v>
      </c>
      <c r="E1296" s="4">
        <v>3</v>
      </c>
      <c r="F1296" s="8">
        <v>1.28</v>
      </c>
      <c r="G1296" s="4">
        <v>9</v>
      </c>
      <c r="H1296" s="8">
        <v>6.82</v>
      </c>
      <c r="I1296" s="4">
        <v>0</v>
      </c>
    </row>
    <row r="1297" spans="1:9" x14ac:dyDescent="0.2">
      <c r="A1297" s="2">
        <v>9</v>
      </c>
      <c r="B1297" s="1" t="s">
        <v>95</v>
      </c>
      <c r="C1297" s="4">
        <v>11</v>
      </c>
      <c r="D1297" s="8">
        <v>2.93</v>
      </c>
      <c r="E1297" s="4">
        <v>8</v>
      </c>
      <c r="F1297" s="8">
        <v>3.4</v>
      </c>
      <c r="G1297" s="4">
        <v>3</v>
      </c>
      <c r="H1297" s="8">
        <v>2.27</v>
      </c>
      <c r="I1297" s="4">
        <v>0</v>
      </c>
    </row>
    <row r="1298" spans="1:9" x14ac:dyDescent="0.2">
      <c r="A1298" s="2">
        <v>10</v>
      </c>
      <c r="B1298" s="1" t="s">
        <v>114</v>
      </c>
      <c r="C1298" s="4">
        <v>10</v>
      </c>
      <c r="D1298" s="8">
        <v>2.67</v>
      </c>
      <c r="E1298" s="4">
        <v>6</v>
      </c>
      <c r="F1298" s="8">
        <v>2.5499999999999998</v>
      </c>
      <c r="G1298" s="4">
        <v>2</v>
      </c>
      <c r="H1298" s="8">
        <v>1.52</v>
      </c>
      <c r="I1298" s="4">
        <v>0</v>
      </c>
    </row>
    <row r="1299" spans="1:9" x14ac:dyDescent="0.2">
      <c r="A1299" s="2">
        <v>11</v>
      </c>
      <c r="B1299" s="1" t="s">
        <v>97</v>
      </c>
      <c r="C1299" s="4">
        <v>9</v>
      </c>
      <c r="D1299" s="8">
        <v>2.4</v>
      </c>
      <c r="E1299" s="4">
        <v>6</v>
      </c>
      <c r="F1299" s="8">
        <v>2.5499999999999998</v>
      </c>
      <c r="G1299" s="4">
        <v>3</v>
      </c>
      <c r="H1299" s="8">
        <v>2.27</v>
      </c>
      <c r="I1299" s="4">
        <v>0</v>
      </c>
    </row>
    <row r="1300" spans="1:9" x14ac:dyDescent="0.2">
      <c r="A1300" s="2">
        <v>11</v>
      </c>
      <c r="B1300" s="1" t="s">
        <v>105</v>
      </c>
      <c r="C1300" s="4">
        <v>9</v>
      </c>
      <c r="D1300" s="8">
        <v>2.4</v>
      </c>
      <c r="E1300" s="4">
        <v>6</v>
      </c>
      <c r="F1300" s="8">
        <v>2.5499999999999998</v>
      </c>
      <c r="G1300" s="4">
        <v>1</v>
      </c>
      <c r="H1300" s="8">
        <v>0.76</v>
      </c>
      <c r="I1300" s="4">
        <v>0</v>
      </c>
    </row>
    <row r="1301" spans="1:9" x14ac:dyDescent="0.2">
      <c r="A1301" s="2">
        <v>13</v>
      </c>
      <c r="B1301" s="1" t="s">
        <v>90</v>
      </c>
      <c r="C1301" s="4">
        <v>7</v>
      </c>
      <c r="D1301" s="8">
        <v>1.87</v>
      </c>
      <c r="E1301" s="4">
        <v>1</v>
      </c>
      <c r="F1301" s="8">
        <v>0.43</v>
      </c>
      <c r="G1301" s="4">
        <v>6</v>
      </c>
      <c r="H1301" s="8">
        <v>4.55</v>
      </c>
      <c r="I1301" s="4">
        <v>0</v>
      </c>
    </row>
    <row r="1302" spans="1:9" x14ac:dyDescent="0.2">
      <c r="A1302" s="2">
        <v>14</v>
      </c>
      <c r="B1302" s="1" t="s">
        <v>106</v>
      </c>
      <c r="C1302" s="4">
        <v>6</v>
      </c>
      <c r="D1302" s="8">
        <v>1.6</v>
      </c>
      <c r="E1302" s="4">
        <v>4</v>
      </c>
      <c r="F1302" s="8">
        <v>1.7</v>
      </c>
      <c r="G1302" s="4">
        <v>2</v>
      </c>
      <c r="H1302" s="8">
        <v>1.52</v>
      </c>
      <c r="I1302" s="4">
        <v>0</v>
      </c>
    </row>
    <row r="1303" spans="1:9" x14ac:dyDescent="0.2">
      <c r="A1303" s="2">
        <v>15</v>
      </c>
      <c r="B1303" s="1" t="s">
        <v>109</v>
      </c>
      <c r="C1303" s="4">
        <v>5</v>
      </c>
      <c r="D1303" s="8">
        <v>1.33</v>
      </c>
      <c r="E1303" s="4">
        <v>2</v>
      </c>
      <c r="F1303" s="8">
        <v>0.85</v>
      </c>
      <c r="G1303" s="4">
        <v>3</v>
      </c>
      <c r="H1303" s="8">
        <v>2.27</v>
      </c>
      <c r="I1303" s="4">
        <v>0</v>
      </c>
    </row>
    <row r="1304" spans="1:9" x14ac:dyDescent="0.2">
      <c r="A1304" s="2">
        <v>15</v>
      </c>
      <c r="B1304" s="1" t="s">
        <v>129</v>
      </c>
      <c r="C1304" s="4">
        <v>5</v>
      </c>
      <c r="D1304" s="8">
        <v>1.33</v>
      </c>
      <c r="E1304" s="4">
        <v>2</v>
      </c>
      <c r="F1304" s="8">
        <v>0.85</v>
      </c>
      <c r="G1304" s="4">
        <v>3</v>
      </c>
      <c r="H1304" s="8">
        <v>2.27</v>
      </c>
      <c r="I1304" s="4">
        <v>0</v>
      </c>
    </row>
    <row r="1305" spans="1:9" x14ac:dyDescent="0.2">
      <c r="A1305" s="2">
        <v>15</v>
      </c>
      <c r="B1305" s="1" t="s">
        <v>130</v>
      </c>
      <c r="C1305" s="4">
        <v>5</v>
      </c>
      <c r="D1305" s="8">
        <v>1.33</v>
      </c>
      <c r="E1305" s="4">
        <v>2</v>
      </c>
      <c r="F1305" s="8">
        <v>0.85</v>
      </c>
      <c r="G1305" s="4">
        <v>2</v>
      </c>
      <c r="H1305" s="8">
        <v>1.52</v>
      </c>
      <c r="I1305" s="4">
        <v>0</v>
      </c>
    </row>
    <row r="1306" spans="1:9" x14ac:dyDescent="0.2">
      <c r="A1306" s="2">
        <v>15</v>
      </c>
      <c r="B1306" s="1" t="s">
        <v>133</v>
      </c>
      <c r="C1306" s="4">
        <v>5</v>
      </c>
      <c r="D1306" s="8">
        <v>1.33</v>
      </c>
      <c r="E1306" s="4">
        <v>4</v>
      </c>
      <c r="F1306" s="8">
        <v>1.7</v>
      </c>
      <c r="G1306" s="4">
        <v>1</v>
      </c>
      <c r="H1306" s="8">
        <v>0.76</v>
      </c>
      <c r="I1306" s="4">
        <v>0</v>
      </c>
    </row>
    <row r="1307" spans="1:9" x14ac:dyDescent="0.2">
      <c r="A1307" s="2">
        <v>19</v>
      </c>
      <c r="B1307" s="1" t="s">
        <v>125</v>
      </c>
      <c r="C1307" s="4">
        <v>4</v>
      </c>
      <c r="D1307" s="8">
        <v>1.07</v>
      </c>
      <c r="E1307" s="4">
        <v>0</v>
      </c>
      <c r="F1307" s="8">
        <v>0</v>
      </c>
      <c r="G1307" s="4">
        <v>4</v>
      </c>
      <c r="H1307" s="8">
        <v>3.03</v>
      </c>
      <c r="I1307" s="4">
        <v>0</v>
      </c>
    </row>
    <row r="1308" spans="1:9" x14ac:dyDescent="0.2">
      <c r="A1308" s="2">
        <v>19</v>
      </c>
      <c r="B1308" s="1" t="s">
        <v>123</v>
      </c>
      <c r="C1308" s="4">
        <v>4</v>
      </c>
      <c r="D1308" s="8">
        <v>1.07</v>
      </c>
      <c r="E1308" s="4">
        <v>3</v>
      </c>
      <c r="F1308" s="8">
        <v>1.28</v>
      </c>
      <c r="G1308" s="4">
        <v>1</v>
      </c>
      <c r="H1308" s="8">
        <v>0.76</v>
      </c>
      <c r="I1308" s="4">
        <v>0</v>
      </c>
    </row>
    <row r="1309" spans="1:9" x14ac:dyDescent="0.2">
      <c r="A1309" s="2">
        <v>19</v>
      </c>
      <c r="B1309" s="1" t="s">
        <v>110</v>
      </c>
      <c r="C1309" s="4">
        <v>4</v>
      </c>
      <c r="D1309" s="8">
        <v>1.07</v>
      </c>
      <c r="E1309" s="4">
        <v>1</v>
      </c>
      <c r="F1309" s="8">
        <v>0.43</v>
      </c>
      <c r="G1309" s="4">
        <v>3</v>
      </c>
      <c r="H1309" s="8">
        <v>2.27</v>
      </c>
      <c r="I1309" s="4">
        <v>0</v>
      </c>
    </row>
    <row r="1310" spans="1:9" x14ac:dyDescent="0.2">
      <c r="A1310" s="2">
        <v>19</v>
      </c>
      <c r="B1310" s="1" t="s">
        <v>142</v>
      </c>
      <c r="C1310" s="4">
        <v>4</v>
      </c>
      <c r="D1310" s="8">
        <v>1.07</v>
      </c>
      <c r="E1310" s="4">
        <v>3</v>
      </c>
      <c r="F1310" s="8">
        <v>1.28</v>
      </c>
      <c r="G1310" s="4">
        <v>1</v>
      </c>
      <c r="H1310" s="8">
        <v>0.76</v>
      </c>
      <c r="I1310" s="4">
        <v>0</v>
      </c>
    </row>
    <row r="1311" spans="1:9" x14ac:dyDescent="0.2">
      <c r="A1311" s="2">
        <v>19</v>
      </c>
      <c r="B1311" s="1" t="s">
        <v>101</v>
      </c>
      <c r="C1311" s="4">
        <v>4</v>
      </c>
      <c r="D1311" s="8">
        <v>1.07</v>
      </c>
      <c r="E1311" s="4">
        <v>3</v>
      </c>
      <c r="F1311" s="8">
        <v>1.28</v>
      </c>
      <c r="G1311" s="4">
        <v>1</v>
      </c>
      <c r="H1311" s="8">
        <v>0.76</v>
      </c>
      <c r="I1311" s="4">
        <v>0</v>
      </c>
    </row>
    <row r="1312" spans="1:9" x14ac:dyDescent="0.2">
      <c r="A1312" s="2">
        <v>19</v>
      </c>
      <c r="B1312" s="1" t="s">
        <v>102</v>
      </c>
      <c r="C1312" s="4">
        <v>4</v>
      </c>
      <c r="D1312" s="8">
        <v>1.07</v>
      </c>
      <c r="E1312" s="4">
        <v>1</v>
      </c>
      <c r="F1312" s="8">
        <v>0.43</v>
      </c>
      <c r="G1312" s="4">
        <v>3</v>
      </c>
      <c r="H1312" s="8">
        <v>2.27</v>
      </c>
      <c r="I1312" s="4">
        <v>0</v>
      </c>
    </row>
    <row r="1313" spans="1:9" x14ac:dyDescent="0.2">
      <c r="A1313" s="2">
        <v>19</v>
      </c>
      <c r="B1313" s="1" t="s">
        <v>132</v>
      </c>
      <c r="C1313" s="4">
        <v>4</v>
      </c>
      <c r="D1313" s="8">
        <v>1.07</v>
      </c>
      <c r="E1313" s="4">
        <v>0</v>
      </c>
      <c r="F1313" s="8">
        <v>0</v>
      </c>
      <c r="G1313" s="4">
        <v>4</v>
      </c>
      <c r="H1313" s="8">
        <v>3.03</v>
      </c>
      <c r="I1313" s="4">
        <v>0</v>
      </c>
    </row>
    <row r="1314" spans="1:9" x14ac:dyDescent="0.2">
      <c r="A1314" s="1"/>
      <c r="C1314" s="4"/>
      <c r="D1314" s="8"/>
      <c r="E1314" s="4"/>
      <c r="F1314" s="8"/>
      <c r="G1314" s="4"/>
      <c r="H1314" s="8"/>
      <c r="I1314" s="4"/>
    </row>
    <row r="1315" spans="1:9" x14ac:dyDescent="0.2">
      <c r="A1315" s="1" t="s">
        <v>57</v>
      </c>
      <c r="C1315" s="4"/>
      <c r="D1315" s="8"/>
      <c r="E1315" s="4"/>
      <c r="F1315" s="8"/>
      <c r="G1315" s="4"/>
      <c r="H1315" s="8"/>
      <c r="I1315" s="4"/>
    </row>
    <row r="1316" spans="1:9" x14ac:dyDescent="0.2">
      <c r="A1316" s="2">
        <v>1</v>
      </c>
      <c r="B1316" s="1" t="s">
        <v>144</v>
      </c>
      <c r="C1316" s="4">
        <v>6</v>
      </c>
      <c r="D1316" s="8">
        <v>28.57</v>
      </c>
      <c r="E1316" s="4">
        <v>6</v>
      </c>
      <c r="F1316" s="8">
        <v>40</v>
      </c>
      <c r="G1316" s="4">
        <v>0</v>
      </c>
      <c r="H1316" s="8">
        <v>0</v>
      </c>
      <c r="I1316" s="4">
        <v>0</v>
      </c>
    </row>
    <row r="1317" spans="1:9" x14ac:dyDescent="0.2">
      <c r="A1317" s="2">
        <v>2</v>
      </c>
      <c r="B1317" s="1" t="s">
        <v>96</v>
      </c>
      <c r="C1317" s="4">
        <v>3</v>
      </c>
      <c r="D1317" s="8">
        <v>14.29</v>
      </c>
      <c r="E1317" s="4">
        <v>3</v>
      </c>
      <c r="F1317" s="8">
        <v>20</v>
      </c>
      <c r="G1317" s="4">
        <v>0</v>
      </c>
      <c r="H1317" s="8">
        <v>0</v>
      </c>
      <c r="I1317" s="4">
        <v>0</v>
      </c>
    </row>
    <row r="1318" spans="1:9" x14ac:dyDescent="0.2">
      <c r="A1318" s="2">
        <v>3</v>
      </c>
      <c r="B1318" s="1" t="s">
        <v>88</v>
      </c>
      <c r="C1318" s="4">
        <v>2</v>
      </c>
      <c r="D1318" s="8">
        <v>9.52</v>
      </c>
      <c r="E1318" s="4">
        <v>1</v>
      </c>
      <c r="F1318" s="8">
        <v>6.67</v>
      </c>
      <c r="G1318" s="4">
        <v>1</v>
      </c>
      <c r="H1318" s="8">
        <v>25</v>
      </c>
      <c r="I1318" s="4">
        <v>0</v>
      </c>
    </row>
    <row r="1319" spans="1:9" x14ac:dyDescent="0.2">
      <c r="A1319" s="2">
        <v>3</v>
      </c>
      <c r="B1319" s="1" t="s">
        <v>103</v>
      </c>
      <c r="C1319" s="4">
        <v>2</v>
      </c>
      <c r="D1319" s="8">
        <v>9.52</v>
      </c>
      <c r="E1319" s="4">
        <v>2</v>
      </c>
      <c r="F1319" s="8">
        <v>13.33</v>
      </c>
      <c r="G1319" s="4">
        <v>0</v>
      </c>
      <c r="H1319" s="8">
        <v>0</v>
      </c>
      <c r="I1319" s="4">
        <v>0</v>
      </c>
    </row>
    <row r="1320" spans="1:9" x14ac:dyDescent="0.2">
      <c r="A1320" s="2">
        <v>5</v>
      </c>
      <c r="B1320" s="1" t="s">
        <v>90</v>
      </c>
      <c r="C1320" s="4">
        <v>1</v>
      </c>
      <c r="D1320" s="8">
        <v>4.76</v>
      </c>
      <c r="E1320" s="4">
        <v>1</v>
      </c>
      <c r="F1320" s="8">
        <v>6.67</v>
      </c>
      <c r="G1320" s="4">
        <v>0</v>
      </c>
      <c r="H1320" s="8">
        <v>0</v>
      </c>
      <c r="I1320" s="4">
        <v>0</v>
      </c>
    </row>
    <row r="1321" spans="1:9" x14ac:dyDescent="0.2">
      <c r="A1321" s="2">
        <v>5</v>
      </c>
      <c r="B1321" s="1" t="s">
        <v>138</v>
      </c>
      <c r="C1321" s="4">
        <v>1</v>
      </c>
      <c r="D1321" s="8">
        <v>4.76</v>
      </c>
      <c r="E1321" s="4">
        <v>0</v>
      </c>
      <c r="F1321" s="8">
        <v>0</v>
      </c>
      <c r="G1321" s="4">
        <v>1</v>
      </c>
      <c r="H1321" s="8">
        <v>25</v>
      </c>
      <c r="I1321" s="4">
        <v>0</v>
      </c>
    </row>
    <row r="1322" spans="1:9" x14ac:dyDescent="0.2">
      <c r="A1322" s="2">
        <v>5</v>
      </c>
      <c r="B1322" s="1" t="s">
        <v>141</v>
      </c>
      <c r="C1322" s="4">
        <v>1</v>
      </c>
      <c r="D1322" s="8">
        <v>4.76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2">
      <c r="A1323" s="2">
        <v>5</v>
      </c>
      <c r="B1323" s="1" t="s">
        <v>149</v>
      </c>
      <c r="C1323" s="4">
        <v>1</v>
      </c>
      <c r="D1323" s="8">
        <v>4.76</v>
      </c>
      <c r="E1323" s="4">
        <v>0</v>
      </c>
      <c r="F1323" s="8">
        <v>0</v>
      </c>
      <c r="G1323" s="4">
        <v>1</v>
      </c>
      <c r="H1323" s="8">
        <v>25</v>
      </c>
      <c r="I1323" s="4">
        <v>0</v>
      </c>
    </row>
    <row r="1324" spans="1:9" x14ac:dyDescent="0.2">
      <c r="A1324" s="2">
        <v>5</v>
      </c>
      <c r="B1324" s="1" t="s">
        <v>97</v>
      </c>
      <c r="C1324" s="4">
        <v>1</v>
      </c>
      <c r="D1324" s="8">
        <v>4.76</v>
      </c>
      <c r="E1324" s="4">
        <v>1</v>
      </c>
      <c r="F1324" s="8">
        <v>6.67</v>
      </c>
      <c r="G1324" s="4">
        <v>0</v>
      </c>
      <c r="H1324" s="8">
        <v>0</v>
      </c>
      <c r="I1324" s="4">
        <v>0</v>
      </c>
    </row>
    <row r="1325" spans="1:9" x14ac:dyDescent="0.2">
      <c r="A1325" s="2">
        <v>5</v>
      </c>
      <c r="B1325" s="1" t="s">
        <v>104</v>
      </c>
      <c r="C1325" s="4">
        <v>1</v>
      </c>
      <c r="D1325" s="8">
        <v>4.76</v>
      </c>
      <c r="E1325" s="4">
        <v>1</v>
      </c>
      <c r="F1325" s="8">
        <v>6.67</v>
      </c>
      <c r="G1325" s="4">
        <v>0</v>
      </c>
      <c r="H1325" s="8">
        <v>0</v>
      </c>
      <c r="I1325" s="4">
        <v>0</v>
      </c>
    </row>
    <row r="1326" spans="1:9" x14ac:dyDescent="0.2">
      <c r="A1326" s="2">
        <v>5</v>
      </c>
      <c r="B1326" s="1" t="s">
        <v>148</v>
      </c>
      <c r="C1326" s="4">
        <v>1</v>
      </c>
      <c r="D1326" s="8">
        <v>4.76</v>
      </c>
      <c r="E1326" s="4">
        <v>0</v>
      </c>
      <c r="F1326" s="8">
        <v>0</v>
      </c>
      <c r="G1326" s="4">
        <v>1</v>
      </c>
      <c r="H1326" s="8">
        <v>25</v>
      </c>
      <c r="I1326" s="4">
        <v>0</v>
      </c>
    </row>
    <row r="1327" spans="1:9" x14ac:dyDescent="0.2">
      <c r="A1327" s="2">
        <v>5</v>
      </c>
      <c r="B1327" s="1" t="s">
        <v>150</v>
      </c>
      <c r="C1327" s="4">
        <v>1</v>
      </c>
      <c r="D1327" s="8">
        <v>4.76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2">
      <c r="A1328" s="1"/>
      <c r="C1328" s="4"/>
      <c r="D1328" s="8"/>
      <c r="E1328" s="4"/>
      <c r="F1328" s="8"/>
      <c r="G1328" s="4"/>
      <c r="H1328" s="8"/>
      <c r="I1328" s="4"/>
    </row>
    <row r="1329" spans="1:9" x14ac:dyDescent="0.2">
      <c r="A1329" s="1" t="s">
        <v>58</v>
      </c>
      <c r="C1329" s="4"/>
      <c r="D1329" s="8"/>
      <c r="E1329" s="4"/>
      <c r="F1329" s="8"/>
      <c r="G1329" s="4"/>
      <c r="H1329" s="8"/>
      <c r="I1329" s="4"/>
    </row>
    <row r="1330" spans="1:9" x14ac:dyDescent="0.2">
      <c r="A1330" s="2">
        <v>1</v>
      </c>
      <c r="B1330" s="1" t="s">
        <v>144</v>
      </c>
      <c r="C1330" s="4">
        <v>61</v>
      </c>
      <c r="D1330" s="8">
        <v>39.1</v>
      </c>
      <c r="E1330" s="4">
        <v>60</v>
      </c>
      <c r="F1330" s="8">
        <v>48.78</v>
      </c>
      <c r="G1330" s="4">
        <v>1</v>
      </c>
      <c r="H1330" s="8">
        <v>4.17</v>
      </c>
      <c r="I1330" s="4">
        <v>0</v>
      </c>
    </row>
    <row r="1331" spans="1:9" x14ac:dyDescent="0.2">
      <c r="A1331" s="2">
        <v>2</v>
      </c>
      <c r="B1331" s="1" t="s">
        <v>103</v>
      </c>
      <c r="C1331" s="4">
        <v>14</v>
      </c>
      <c r="D1331" s="8">
        <v>8.9700000000000006</v>
      </c>
      <c r="E1331" s="4">
        <v>13</v>
      </c>
      <c r="F1331" s="8">
        <v>10.57</v>
      </c>
      <c r="G1331" s="4">
        <v>1</v>
      </c>
      <c r="H1331" s="8">
        <v>4.17</v>
      </c>
      <c r="I1331" s="4">
        <v>0</v>
      </c>
    </row>
    <row r="1332" spans="1:9" x14ac:dyDescent="0.2">
      <c r="A1332" s="2">
        <v>3</v>
      </c>
      <c r="B1332" s="1" t="s">
        <v>98</v>
      </c>
      <c r="C1332" s="4">
        <v>12</v>
      </c>
      <c r="D1332" s="8">
        <v>7.69</v>
      </c>
      <c r="E1332" s="4">
        <v>8</v>
      </c>
      <c r="F1332" s="8">
        <v>6.5</v>
      </c>
      <c r="G1332" s="4">
        <v>4</v>
      </c>
      <c r="H1332" s="8">
        <v>16.670000000000002</v>
      </c>
      <c r="I1332" s="4">
        <v>0</v>
      </c>
    </row>
    <row r="1333" spans="1:9" x14ac:dyDescent="0.2">
      <c r="A1333" s="2">
        <v>4</v>
      </c>
      <c r="B1333" s="1" t="s">
        <v>96</v>
      </c>
      <c r="C1333" s="4">
        <v>10</v>
      </c>
      <c r="D1333" s="8">
        <v>6.41</v>
      </c>
      <c r="E1333" s="4">
        <v>9</v>
      </c>
      <c r="F1333" s="8">
        <v>7.32</v>
      </c>
      <c r="G1333" s="4">
        <v>1</v>
      </c>
      <c r="H1333" s="8">
        <v>4.17</v>
      </c>
      <c r="I1333" s="4">
        <v>0</v>
      </c>
    </row>
    <row r="1334" spans="1:9" x14ac:dyDescent="0.2">
      <c r="A1334" s="2">
        <v>5</v>
      </c>
      <c r="B1334" s="1" t="s">
        <v>90</v>
      </c>
      <c r="C1334" s="4">
        <v>7</v>
      </c>
      <c r="D1334" s="8">
        <v>4.49</v>
      </c>
      <c r="E1334" s="4">
        <v>4</v>
      </c>
      <c r="F1334" s="8">
        <v>3.25</v>
      </c>
      <c r="G1334" s="4">
        <v>3</v>
      </c>
      <c r="H1334" s="8">
        <v>12.5</v>
      </c>
      <c r="I1334" s="4">
        <v>0</v>
      </c>
    </row>
    <row r="1335" spans="1:9" x14ac:dyDescent="0.2">
      <c r="A1335" s="2">
        <v>6</v>
      </c>
      <c r="B1335" s="1" t="s">
        <v>89</v>
      </c>
      <c r="C1335" s="4">
        <v>5</v>
      </c>
      <c r="D1335" s="8">
        <v>3.21</v>
      </c>
      <c r="E1335" s="4">
        <v>5</v>
      </c>
      <c r="F1335" s="8">
        <v>4.07</v>
      </c>
      <c r="G1335" s="4">
        <v>0</v>
      </c>
      <c r="H1335" s="8">
        <v>0</v>
      </c>
      <c r="I1335" s="4">
        <v>0</v>
      </c>
    </row>
    <row r="1336" spans="1:9" x14ac:dyDescent="0.2">
      <c r="A1336" s="2">
        <v>6</v>
      </c>
      <c r="B1336" s="1" t="s">
        <v>104</v>
      </c>
      <c r="C1336" s="4">
        <v>5</v>
      </c>
      <c r="D1336" s="8">
        <v>3.21</v>
      </c>
      <c r="E1336" s="4">
        <v>4</v>
      </c>
      <c r="F1336" s="8">
        <v>3.25</v>
      </c>
      <c r="G1336" s="4">
        <v>0</v>
      </c>
      <c r="H1336" s="8">
        <v>0</v>
      </c>
      <c r="I1336" s="4">
        <v>0</v>
      </c>
    </row>
    <row r="1337" spans="1:9" x14ac:dyDescent="0.2">
      <c r="A1337" s="2">
        <v>6</v>
      </c>
      <c r="B1337" s="1" t="s">
        <v>114</v>
      </c>
      <c r="C1337" s="4">
        <v>5</v>
      </c>
      <c r="D1337" s="8">
        <v>3.21</v>
      </c>
      <c r="E1337" s="4">
        <v>3</v>
      </c>
      <c r="F1337" s="8">
        <v>2.44</v>
      </c>
      <c r="G1337" s="4">
        <v>1</v>
      </c>
      <c r="H1337" s="8">
        <v>4.17</v>
      </c>
      <c r="I1337" s="4">
        <v>0</v>
      </c>
    </row>
    <row r="1338" spans="1:9" x14ac:dyDescent="0.2">
      <c r="A1338" s="2">
        <v>9</v>
      </c>
      <c r="B1338" s="1" t="s">
        <v>138</v>
      </c>
      <c r="C1338" s="4">
        <v>4</v>
      </c>
      <c r="D1338" s="8">
        <v>2.56</v>
      </c>
      <c r="E1338" s="4">
        <v>4</v>
      </c>
      <c r="F1338" s="8">
        <v>3.25</v>
      </c>
      <c r="G1338" s="4">
        <v>0</v>
      </c>
      <c r="H1338" s="8">
        <v>0</v>
      </c>
      <c r="I1338" s="4">
        <v>0</v>
      </c>
    </row>
    <row r="1339" spans="1:9" x14ac:dyDescent="0.2">
      <c r="A1339" s="2">
        <v>9</v>
      </c>
      <c r="B1339" s="1" t="s">
        <v>149</v>
      </c>
      <c r="C1339" s="4">
        <v>4</v>
      </c>
      <c r="D1339" s="8">
        <v>2.56</v>
      </c>
      <c r="E1339" s="4">
        <v>0</v>
      </c>
      <c r="F1339" s="8">
        <v>0</v>
      </c>
      <c r="G1339" s="4">
        <v>3</v>
      </c>
      <c r="H1339" s="8">
        <v>12.5</v>
      </c>
      <c r="I1339" s="4">
        <v>0</v>
      </c>
    </row>
    <row r="1340" spans="1:9" x14ac:dyDescent="0.2">
      <c r="A1340" s="2">
        <v>11</v>
      </c>
      <c r="B1340" s="1" t="s">
        <v>88</v>
      </c>
      <c r="C1340" s="4">
        <v>3</v>
      </c>
      <c r="D1340" s="8">
        <v>1.92</v>
      </c>
      <c r="E1340" s="4">
        <v>1</v>
      </c>
      <c r="F1340" s="8">
        <v>0.81</v>
      </c>
      <c r="G1340" s="4">
        <v>2</v>
      </c>
      <c r="H1340" s="8">
        <v>8.33</v>
      </c>
      <c r="I1340" s="4">
        <v>0</v>
      </c>
    </row>
    <row r="1341" spans="1:9" x14ac:dyDescent="0.2">
      <c r="A1341" s="2">
        <v>11</v>
      </c>
      <c r="B1341" s="1" t="s">
        <v>146</v>
      </c>
      <c r="C1341" s="4">
        <v>3</v>
      </c>
      <c r="D1341" s="8">
        <v>1.92</v>
      </c>
      <c r="E1341" s="4">
        <v>0</v>
      </c>
      <c r="F1341" s="8">
        <v>0</v>
      </c>
      <c r="G1341" s="4">
        <v>3</v>
      </c>
      <c r="H1341" s="8">
        <v>12.5</v>
      </c>
      <c r="I1341" s="4">
        <v>0</v>
      </c>
    </row>
    <row r="1342" spans="1:9" x14ac:dyDescent="0.2">
      <c r="A1342" s="2">
        <v>11</v>
      </c>
      <c r="B1342" s="1" t="s">
        <v>97</v>
      </c>
      <c r="C1342" s="4">
        <v>3</v>
      </c>
      <c r="D1342" s="8">
        <v>1.92</v>
      </c>
      <c r="E1342" s="4">
        <v>3</v>
      </c>
      <c r="F1342" s="8">
        <v>2.44</v>
      </c>
      <c r="G1342" s="4">
        <v>0</v>
      </c>
      <c r="H1342" s="8">
        <v>0</v>
      </c>
      <c r="I1342" s="4">
        <v>0</v>
      </c>
    </row>
    <row r="1343" spans="1:9" x14ac:dyDescent="0.2">
      <c r="A1343" s="2">
        <v>14</v>
      </c>
      <c r="B1343" s="1" t="s">
        <v>141</v>
      </c>
      <c r="C1343" s="4">
        <v>2</v>
      </c>
      <c r="D1343" s="8">
        <v>1.28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2">
      <c r="A1344" s="2">
        <v>14</v>
      </c>
      <c r="B1344" s="1" t="s">
        <v>152</v>
      </c>
      <c r="C1344" s="4">
        <v>2</v>
      </c>
      <c r="D1344" s="8">
        <v>1.28</v>
      </c>
      <c r="E1344" s="4">
        <v>1</v>
      </c>
      <c r="F1344" s="8">
        <v>0.81</v>
      </c>
      <c r="G1344" s="4">
        <v>1</v>
      </c>
      <c r="H1344" s="8">
        <v>4.17</v>
      </c>
      <c r="I1344" s="4">
        <v>0</v>
      </c>
    </row>
    <row r="1345" spans="1:9" x14ac:dyDescent="0.2">
      <c r="A1345" s="2">
        <v>14</v>
      </c>
      <c r="B1345" s="1" t="s">
        <v>95</v>
      </c>
      <c r="C1345" s="4">
        <v>2</v>
      </c>
      <c r="D1345" s="8">
        <v>1.28</v>
      </c>
      <c r="E1345" s="4">
        <v>2</v>
      </c>
      <c r="F1345" s="8">
        <v>1.63</v>
      </c>
      <c r="G1345" s="4">
        <v>0</v>
      </c>
      <c r="H1345" s="8">
        <v>0</v>
      </c>
      <c r="I1345" s="4">
        <v>0</v>
      </c>
    </row>
    <row r="1346" spans="1:9" x14ac:dyDescent="0.2">
      <c r="A1346" s="2">
        <v>14</v>
      </c>
      <c r="B1346" s="1" t="s">
        <v>142</v>
      </c>
      <c r="C1346" s="4">
        <v>2</v>
      </c>
      <c r="D1346" s="8">
        <v>1.28</v>
      </c>
      <c r="E1346" s="4">
        <v>2</v>
      </c>
      <c r="F1346" s="8">
        <v>1.63</v>
      </c>
      <c r="G1346" s="4">
        <v>0</v>
      </c>
      <c r="H1346" s="8">
        <v>0</v>
      </c>
      <c r="I1346" s="4">
        <v>0</v>
      </c>
    </row>
    <row r="1347" spans="1:9" x14ac:dyDescent="0.2">
      <c r="A1347" s="2">
        <v>14</v>
      </c>
      <c r="B1347" s="1" t="s">
        <v>105</v>
      </c>
      <c r="C1347" s="4">
        <v>2</v>
      </c>
      <c r="D1347" s="8">
        <v>1.28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2">
      <c r="A1348" s="2">
        <v>19</v>
      </c>
      <c r="B1348" s="1" t="s">
        <v>151</v>
      </c>
      <c r="C1348" s="4">
        <v>1</v>
      </c>
      <c r="D1348" s="8">
        <v>0.64</v>
      </c>
      <c r="E1348" s="4">
        <v>0</v>
      </c>
      <c r="F1348" s="8">
        <v>0</v>
      </c>
      <c r="G1348" s="4">
        <v>1</v>
      </c>
      <c r="H1348" s="8">
        <v>4.17</v>
      </c>
      <c r="I1348" s="4">
        <v>0</v>
      </c>
    </row>
    <row r="1349" spans="1:9" x14ac:dyDescent="0.2">
      <c r="A1349" s="2">
        <v>19</v>
      </c>
      <c r="B1349" s="1" t="s">
        <v>120</v>
      </c>
      <c r="C1349" s="4">
        <v>1</v>
      </c>
      <c r="D1349" s="8">
        <v>0.64</v>
      </c>
      <c r="E1349" s="4">
        <v>0</v>
      </c>
      <c r="F1349" s="8">
        <v>0</v>
      </c>
      <c r="G1349" s="4">
        <v>1</v>
      </c>
      <c r="H1349" s="8">
        <v>4.17</v>
      </c>
      <c r="I1349" s="4">
        <v>0</v>
      </c>
    </row>
    <row r="1350" spans="1:9" x14ac:dyDescent="0.2">
      <c r="A1350" s="2">
        <v>19</v>
      </c>
      <c r="B1350" s="1" t="s">
        <v>128</v>
      </c>
      <c r="C1350" s="4">
        <v>1</v>
      </c>
      <c r="D1350" s="8">
        <v>0.64</v>
      </c>
      <c r="E1350" s="4">
        <v>1</v>
      </c>
      <c r="F1350" s="8">
        <v>0.81</v>
      </c>
      <c r="G1350" s="4">
        <v>0</v>
      </c>
      <c r="H1350" s="8">
        <v>0</v>
      </c>
      <c r="I1350" s="4">
        <v>0</v>
      </c>
    </row>
    <row r="1351" spans="1:9" x14ac:dyDescent="0.2">
      <c r="A1351" s="2">
        <v>19</v>
      </c>
      <c r="B1351" s="1" t="s">
        <v>109</v>
      </c>
      <c r="C1351" s="4">
        <v>1</v>
      </c>
      <c r="D1351" s="8">
        <v>0.64</v>
      </c>
      <c r="E1351" s="4">
        <v>1</v>
      </c>
      <c r="F1351" s="8">
        <v>0.81</v>
      </c>
      <c r="G1351" s="4">
        <v>0</v>
      </c>
      <c r="H1351" s="8">
        <v>0</v>
      </c>
      <c r="I1351" s="4">
        <v>0</v>
      </c>
    </row>
    <row r="1352" spans="1:9" x14ac:dyDescent="0.2">
      <c r="A1352" s="2">
        <v>19</v>
      </c>
      <c r="B1352" s="1" t="s">
        <v>94</v>
      </c>
      <c r="C1352" s="4">
        <v>1</v>
      </c>
      <c r="D1352" s="8">
        <v>0.64</v>
      </c>
      <c r="E1352" s="4">
        <v>1</v>
      </c>
      <c r="F1352" s="8">
        <v>0.81</v>
      </c>
      <c r="G1352" s="4">
        <v>0</v>
      </c>
      <c r="H1352" s="8">
        <v>0</v>
      </c>
      <c r="I1352" s="4">
        <v>0</v>
      </c>
    </row>
    <row r="1353" spans="1:9" x14ac:dyDescent="0.2">
      <c r="A1353" s="2">
        <v>19</v>
      </c>
      <c r="B1353" s="1" t="s">
        <v>143</v>
      </c>
      <c r="C1353" s="4">
        <v>1</v>
      </c>
      <c r="D1353" s="8">
        <v>0.64</v>
      </c>
      <c r="E1353" s="4">
        <v>0</v>
      </c>
      <c r="F1353" s="8">
        <v>0</v>
      </c>
      <c r="G1353" s="4">
        <v>0</v>
      </c>
      <c r="H1353" s="8">
        <v>0</v>
      </c>
      <c r="I1353" s="4">
        <v>0</v>
      </c>
    </row>
    <row r="1354" spans="1:9" x14ac:dyDescent="0.2">
      <c r="A1354" s="2">
        <v>19</v>
      </c>
      <c r="B1354" s="1" t="s">
        <v>101</v>
      </c>
      <c r="C1354" s="4">
        <v>1</v>
      </c>
      <c r="D1354" s="8">
        <v>0.64</v>
      </c>
      <c r="E1354" s="4">
        <v>0</v>
      </c>
      <c r="F1354" s="8">
        <v>0</v>
      </c>
      <c r="G1354" s="4">
        <v>1</v>
      </c>
      <c r="H1354" s="8">
        <v>4.17</v>
      </c>
      <c r="I1354" s="4">
        <v>0</v>
      </c>
    </row>
    <row r="1355" spans="1:9" x14ac:dyDescent="0.2">
      <c r="A1355" s="2">
        <v>19</v>
      </c>
      <c r="B1355" s="1" t="s">
        <v>132</v>
      </c>
      <c r="C1355" s="4">
        <v>1</v>
      </c>
      <c r="D1355" s="8">
        <v>0.64</v>
      </c>
      <c r="E1355" s="4">
        <v>0</v>
      </c>
      <c r="F1355" s="8">
        <v>0</v>
      </c>
      <c r="G1355" s="4">
        <v>1</v>
      </c>
      <c r="H1355" s="8">
        <v>4.17</v>
      </c>
      <c r="I1355" s="4">
        <v>0</v>
      </c>
    </row>
    <row r="1356" spans="1:9" x14ac:dyDescent="0.2">
      <c r="A1356" s="2">
        <v>19</v>
      </c>
      <c r="B1356" s="1" t="s">
        <v>133</v>
      </c>
      <c r="C1356" s="4">
        <v>1</v>
      </c>
      <c r="D1356" s="8">
        <v>0.64</v>
      </c>
      <c r="E1356" s="4">
        <v>1</v>
      </c>
      <c r="F1356" s="8">
        <v>0.81</v>
      </c>
      <c r="G1356" s="4">
        <v>0</v>
      </c>
      <c r="H1356" s="8">
        <v>0</v>
      </c>
      <c r="I1356" s="4">
        <v>0</v>
      </c>
    </row>
    <row r="1357" spans="1:9" x14ac:dyDescent="0.2">
      <c r="A1357" s="2">
        <v>19</v>
      </c>
      <c r="B1357" s="1" t="s">
        <v>150</v>
      </c>
      <c r="C1357" s="4">
        <v>1</v>
      </c>
      <c r="D1357" s="8">
        <v>0.64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2">
      <c r="A1358" s="1"/>
      <c r="C1358" s="4"/>
      <c r="D1358" s="8"/>
      <c r="E1358" s="4"/>
      <c r="F1358" s="8"/>
      <c r="G1358" s="4"/>
      <c r="H1358" s="8"/>
      <c r="I1358" s="4"/>
    </row>
    <row r="1359" spans="1:9" x14ac:dyDescent="0.2">
      <c r="A1359" s="1" t="s">
        <v>59</v>
      </c>
      <c r="C1359" s="4"/>
      <c r="D1359" s="8"/>
      <c r="E1359" s="4"/>
      <c r="F1359" s="8"/>
      <c r="G1359" s="4"/>
      <c r="H1359" s="8"/>
      <c r="I1359" s="4"/>
    </row>
    <row r="1360" spans="1:9" x14ac:dyDescent="0.2">
      <c r="A1360" s="2">
        <v>1</v>
      </c>
      <c r="B1360" s="1" t="s">
        <v>144</v>
      </c>
      <c r="C1360" s="4">
        <v>42</v>
      </c>
      <c r="D1360" s="8">
        <v>32.81</v>
      </c>
      <c r="E1360" s="4">
        <v>39</v>
      </c>
      <c r="F1360" s="8">
        <v>36.450000000000003</v>
      </c>
      <c r="G1360" s="4">
        <v>3</v>
      </c>
      <c r="H1360" s="8">
        <v>20</v>
      </c>
      <c r="I1360" s="4">
        <v>0</v>
      </c>
    </row>
    <row r="1361" spans="1:9" x14ac:dyDescent="0.2">
      <c r="A1361" s="2">
        <v>2</v>
      </c>
      <c r="B1361" s="1" t="s">
        <v>103</v>
      </c>
      <c r="C1361" s="4">
        <v>16</v>
      </c>
      <c r="D1361" s="8">
        <v>12.5</v>
      </c>
      <c r="E1361" s="4">
        <v>16</v>
      </c>
      <c r="F1361" s="8">
        <v>14.95</v>
      </c>
      <c r="G1361" s="4">
        <v>0</v>
      </c>
      <c r="H1361" s="8">
        <v>0</v>
      </c>
      <c r="I1361" s="4">
        <v>0</v>
      </c>
    </row>
    <row r="1362" spans="1:9" x14ac:dyDescent="0.2">
      <c r="A1362" s="2">
        <v>3</v>
      </c>
      <c r="B1362" s="1" t="s">
        <v>96</v>
      </c>
      <c r="C1362" s="4">
        <v>9</v>
      </c>
      <c r="D1362" s="8">
        <v>7.03</v>
      </c>
      <c r="E1362" s="4">
        <v>9</v>
      </c>
      <c r="F1362" s="8">
        <v>8.41</v>
      </c>
      <c r="G1362" s="4">
        <v>0</v>
      </c>
      <c r="H1362" s="8">
        <v>0</v>
      </c>
      <c r="I1362" s="4">
        <v>0</v>
      </c>
    </row>
    <row r="1363" spans="1:9" x14ac:dyDescent="0.2">
      <c r="A1363" s="2">
        <v>3</v>
      </c>
      <c r="B1363" s="1" t="s">
        <v>98</v>
      </c>
      <c r="C1363" s="4">
        <v>9</v>
      </c>
      <c r="D1363" s="8">
        <v>7.03</v>
      </c>
      <c r="E1363" s="4">
        <v>7</v>
      </c>
      <c r="F1363" s="8">
        <v>6.54</v>
      </c>
      <c r="G1363" s="4">
        <v>2</v>
      </c>
      <c r="H1363" s="8">
        <v>13.33</v>
      </c>
      <c r="I1363" s="4">
        <v>0</v>
      </c>
    </row>
    <row r="1364" spans="1:9" x14ac:dyDescent="0.2">
      <c r="A1364" s="2">
        <v>5</v>
      </c>
      <c r="B1364" s="1" t="s">
        <v>104</v>
      </c>
      <c r="C1364" s="4">
        <v>7</v>
      </c>
      <c r="D1364" s="8">
        <v>5.47</v>
      </c>
      <c r="E1364" s="4">
        <v>7</v>
      </c>
      <c r="F1364" s="8">
        <v>6.54</v>
      </c>
      <c r="G1364" s="4">
        <v>0</v>
      </c>
      <c r="H1364" s="8">
        <v>0</v>
      </c>
      <c r="I1364" s="4">
        <v>0</v>
      </c>
    </row>
    <row r="1365" spans="1:9" x14ac:dyDescent="0.2">
      <c r="A1365" s="2">
        <v>6</v>
      </c>
      <c r="B1365" s="1" t="s">
        <v>88</v>
      </c>
      <c r="C1365" s="4">
        <v>6</v>
      </c>
      <c r="D1365" s="8">
        <v>4.6900000000000004</v>
      </c>
      <c r="E1365" s="4">
        <v>5</v>
      </c>
      <c r="F1365" s="8">
        <v>4.67</v>
      </c>
      <c r="G1365" s="4">
        <v>1</v>
      </c>
      <c r="H1365" s="8">
        <v>6.67</v>
      </c>
      <c r="I1365" s="4">
        <v>0</v>
      </c>
    </row>
    <row r="1366" spans="1:9" x14ac:dyDescent="0.2">
      <c r="A1366" s="2">
        <v>7</v>
      </c>
      <c r="B1366" s="1" t="s">
        <v>90</v>
      </c>
      <c r="C1366" s="4">
        <v>5</v>
      </c>
      <c r="D1366" s="8">
        <v>3.91</v>
      </c>
      <c r="E1366" s="4">
        <v>2</v>
      </c>
      <c r="F1366" s="8">
        <v>1.87</v>
      </c>
      <c r="G1366" s="4">
        <v>3</v>
      </c>
      <c r="H1366" s="8">
        <v>20</v>
      </c>
      <c r="I1366" s="4">
        <v>0</v>
      </c>
    </row>
    <row r="1367" spans="1:9" x14ac:dyDescent="0.2">
      <c r="A1367" s="2">
        <v>7</v>
      </c>
      <c r="B1367" s="1" t="s">
        <v>114</v>
      </c>
      <c r="C1367" s="4">
        <v>5</v>
      </c>
      <c r="D1367" s="8">
        <v>3.91</v>
      </c>
      <c r="E1367" s="4">
        <v>5</v>
      </c>
      <c r="F1367" s="8">
        <v>4.67</v>
      </c>
      <c r="G1367" s="4">
        <v>0</v>
      </c>
      <c r="H1367" s="8">
        <v>0</v>
      </c>
      <c r="I1367" s="4">
        <v>0</v>
      </c>
    </row>
    <row r="1368" spans="1:9" x14ac:dyDescent="0.2">
      <c r="A1368" s="2">
        <v>9</v>
      </c>
      <c r="B1368" s="1" t="s">
        <v>89</v>
      </c>
      <c r="C1368" s="4">
        <v>4</v>
      </c>
      <c r="D1368" s="8">
        <v>3.13</v>
      </c>
      <c r="E1368" s="4">
        <v>4</v>
      </c>
      <c r="F1368" s="8">
        <v>3.74</v>
      </c>
      <c r="G1368" s="4">
        <v>0</v>
      </c>
      <c r="H1368" s="8">
        <v>0</v>
      </c>
      <c r="I1368" s="4">
        <v>0</v>
      </c>
    </row>
    <row r="1369" spans="1:9" x14ac:dyDescent="0.2">
      <c r="A1369" s="2">
        <v>9</v>
      </c>
      <c r="B1369" s="1" t="s">
        <v>105</v>
      </c>
      <c r="C1369" s="4">
        <v>4</v>
      </c>
      <c r="D1369" s="8">
        <v>3.13</v>
      </c>
      <c r="E1369" s="4">
        <v>2</v>
      </c>
      <c r="F1369" s="8">
        <v>1.87</v>
      </c>
      <c r="G1369" s="4">
        <v>0</v>
      </c>
      <c r="H1369" s="8">
        <v>0</v>
      </c>
      <c r="I1369" s="4">
        <v>0</v>
      </c>
    </row>
    <row r="1370" spans="1:9" x14ac:dyDescent="0.2">
      <c r="A1370" s="2">
        <v>11</v>
      </c>
      <c r="B1370" s="1" t="s">
        <v>135</v>
      </c>
      <c r="C1370" s="4">
        <v>2</v>
      </c>
      <c r="D1370" s="8">
        <v>1.56</v>
      </c>
      <c r="E1370" s="4">
        <v>2</v>
      </c>
      <c r="F1370" s="8">
        <v>1.87</v>
      </c>
      <c r="G1370" s="4">
        <v>0</v>
      </c>
      <c r="H1370" s="8">
        <v>0</v>
      </c>
      <c r="I1370" s="4">
        <v>0</v>
      </c>
    </row>
    <row r="1371" spans="1:9" x14ac:dyDescent="0.2">
      <c r="A1371" s="2">
        <v>11</v>
      </c>
      <c r="B1371" s="1" t="s">
        <v>102</v>
      </c>
      <c r="C1371" s="4">
        <v>2</v>
      </c>
      <c r="D1371" s="8">
        <v>1.56</v>
      </c>
      <c r="E1371" s="4">
        <v>2</v>
      </c>
      <c r="F1371" s="8">
        <v>1.87</v>
      </c>
      <c r="G1371" s="4">
        <v>0</v>
      </c>
      <c r="H1371" s="8">
        <v>0</v>
      </c>
      <c r="I1371" s="4">
        <v>0</v>
      </c>
    </row>
    <row r="1372" spans="1:9" x14ac:dyDescent="0.2">
      <c r="A1372" s="2">
        <v>11</v>
      </c>
      <c r="B1372" s="1" t="s">
        <v>148</v>
      </c>
      <c r="C1372" s="4">
        <v>2</v>
      </c>
      <c r="D1372" s="8">
        <v>1.56</v>
      </c>
      <c r="E1372" s="4">
        <v>0</v>
      </c>
      <c r="F1372" s="8">
        <v>0</v>
      </c>
      <c r="G1372" s="4">
        <v>0</v>
      </c>
      <c r="H1372" s="8">
        <v>0</v>
      </c>
      <c r="I1372" s="4">
        <v>0</v>
      </c>
    </row>
    <row r="1373" spans="1:9" x14ac:dyDescent="0.2">
      <c r="A1373" s="2">
        <v>14</v>
      </c>
      <c r="B1373" s="1" t="s">
        <v>138</v>
      </c>
      <c r="C1373" s="4">
        <v>1</v>
      </c>
      <c r="D1373" s="8">
        <v>0.78</v>
      </c>
      <c r="E1373" s="4">
        <v>1</v>
      </c>
      <c r="F1373" s="8">
        <v>0.93</v>
      </c>
      <c r="G1373" s="4">
        <v>0</v>
      </c>
      <c r="H1373" s="8">
        <v>0</v>
      </c>
      <c r="I1373" s="4">
        <v>0</v>
      </c>
    </row>
    <row r="1374" spans="1:9" x14ac:dyDescent="0.2">
      <c r="A1374" s="2">
        <v>14</v>
      </c>
      <c r="B1374" s="1" t="s">
        <v>151</v>
      </c>
      <c r="C1374" s="4">
        <v>1</v>
      </c>
      <c r="D1374" s="8">
        <v>0.78</v>
      </c>
      <c r="E1374" s="4">
        <v>0</v>
      </c>
      <c r="F1374" s="8">
        <v>0</v>
      </c>
      <c r="G1374" s="4">
        <v>1</v>
      </c>
      <c r="H1374" s="8">
        <v>6.67</v>
      </c>
      <c r="I1374" s="4">
        <v>0</v>
      </c>
    </row>
    <row r="1375" spans="1:9" x14ac:dyDescent="0.2">
      <c r="A1375" s="2">
        <v>14</v>
      </c>
      <c r="B1375" s="1" t="s">
        <v>146</v>
      </c>
      <c r="C1375" s="4">
        <v>1</v>
      </c>
      <c r="D1375" s="8">
        <v>0.78</v>
      </c>
      <c r="E1375" s="4">
        <v>0</v>
      </c>
      <c r="F1375" s="8">
        <v>0</v>
      </c>
      <c r="G1375" s="4">
        <v>1</v>
      </c>
      <c r="H1375" s="8">
        <v>6.67</v>
      </c>
      <c r="I1375" s="4">
        <v>0</v>
      </c>
    </row>
    <row r="1376" spans="1:9" x14ac:dyDescent="0.2">
      <c r="A1376" s="2">
        <v>14</v>
      </c>
      <c r="B1376" s="1" t="s">
        <v>141</v>
      </c>
      <c r="C1376" s="4">
        <v>1</v>
      </c>
      <c r="D1376" s="8">
        <v>0.78</v>
      </c>
      <c r="E1376" s="4">
        <v>0</v>
      </c>
      <c r="F1376" s="8">
        <v>0</v>
      </c>
      <c r="G1376" s="4">
        <v>0</v>
      </c>
      <c r="H1376" s="8">
        <v>0</v>
      </c>
      <c r="I1376" s="4">
        <v>0</v>
      </c>
    </row>
    <row r="1377" spans="1:9" x14ac:dyDescent="0.2">
      <c r="A1377" s="2">
        <v>14</v>
      </c>
      <c r="B1377" s="1" t="s">
        <v>153</v>
      </c>
      <c r="C1377" s="4">
        <v>1</v>
      </c>
      <c r="D1377" s="8">
        <v>0.78</v>
      </c>
      <c r="E1377" s="4">
        <v>0</v>
      </c>
      <c r="F1377" s="8">
        <v>0</v>
      </c>
      <c r="G1377" s="4">
        <v>0</v>
      </c>
      <c r="H1377" s="8">
        <v>0</v>
      </c>
      <c r="I1377" s="4">
        <v>1</v>
      </c>
    </row>
    <row r="1378" spans="1:9" x14ac:dyDescent="0.2">
      <c r="A1378" s="2">
        <v>14</v>
      </c>
      <c r="B1378" s="1" t="s">
        <v>123</v>
      </c>
      <c r="C1378" s="4">
        <v>1</v>
      </c>
      <c r="D1378" s="8">
        <v>0.78</v>
      </c>
      <c r="E1378" s="4">
        <v>1</v>
      </c>
      <c r="F1378" s="8">
        <v>0.93</v>
      </c>
      <c r="G1378" s="4">
        <v>0</v>
      </c>
      <c r="H1378" s="8">
        <v>0</v>
      </c>
      <c r="I1378" s="4">
        <v>0</v>
      </c>
    </row>
    <row r="1379" spans="1:9" x14ac:dyDescent="0.2">
      <c r="A1379" s="2">
        <v>14</v>
      </c>
      <c r="B1379" s="1" t="s">
        <v>128</v>
      </c>
      <c r="C1379" s="4">
        <v>1</v>
      </c>
      <c r="D1379" s="8">
        <v>0.78</v>
      </c>
      <c r="E1379" s="4">
        <v>0</v>
      </c>
      <c r="F1379" s="8">
        <v>0</v>
      </c>
      <c r="G1379" s="4">
        <v>1</v>
      </c>
      <c r="H1379" s="8">
        <v>6.67</v>
      </c>
      <c r="I1379" s="4">
        <v>0</v>
      </c>
    </row>
    <row r="1380" spans="1:9" x14ac:dyDescent="0.2">
      <c r="A1380" s="2">
        <v>14</v>
      </c>
      <c r="B1380" s="1" t="s">
        <v>154</v>
      </c>
      <c r="C1380" s="4">
        <v>1</v>
      </c>
      <c r="D1380" s="8">
        <v>0.78</v>
      </c>
      <c r="E1380" s="4">
        <v>0</v>
      </c>
      <c r="F1380" s="8">
        <v>0</v>
      </c>
      <c r="G1380" s="4">
        <v>1</v>
      </c>
      <c r="H1380" s="8">
        <v>6.67</v>
      </c>
      <c r="I1380" s="4">
        <v>0</v>
      </c>
    </row>
    <row r="1381" spans="1:9" x14ac:dyDescent="0.2">
      <c r="A1381" s="2">
        <v>14</v>
      </c>
      <c r="B1381" s="1" t="s">
        <v>109</v>
      </c>
      <c r="C1381" s="4">
        <v>1</v>
      </c>
      <c r="D1381" s="8">
        <v>0.78</v>
      </c>
      <c r="E1381" s="4">
        <v>1</v>
      </c>
      <c r="F1381" s="8">
        <v>0.93</v>
      </c>
      <c r="G1381" s="4">
        <v>0</v>
      </c>
      <c r="H1381" s="8">
        <v>0</v>
      </c>
      <c r="I1381" s="4">
        <v>0</v>
      </c>
    </row>
    <row r="1382" spans="1:9" x14ac:dyDescent="0.2">
      <c r="A1382" s="2">
        <v>14</v>
      </c>
      <c r="B1382" s="1" t="s">
        <v>97</v>
      </c>
      <c r="C1382" s="4">
        <v>1</v>
      </c>
      <c r="D1382" s="8">
        <v>0.78</v>
      </c>
      <c r="E1382" s="4">
        <v>1</v>
      </c>
      <c r="F1382" s="8">
        <v>0.93</v>
      </c>
      <c r="G1382" s="4">
        <v>0</v>
      </c>
      <c r="H1382" s="8">
        <v>0</v>
      </c>
      <c r="I1382" s="4">
        <v>0</v>
      </c>
    </row>
    <row r="1383" spans="1:9" x14ac:dyDescent="0.2">
      <c r="A1383" s="2">
        <v>14</v>
      </c>
      <c r="B1383" s="1" t="s">
        <v>142</v>
      </c>
      <c r="C1383" s="4">
        <v>1</v>
      </c>
      <c r="D1383" s="8">
        <v>0.78</v>
      </c>
      <c r="E1383" s="4">
        <v>1</v>
      </c>
      <c r="F1383" s="8">
        <v>0.93</v>
      </c>
      <c r="G1383" s="4">
        <v>0</v>
      </c>
      <c r="H1383" s="8">
        <v>0</v>
      </c>
      <c r="I1383" s="4">
        <v>0</v>
      </c>
    </row>
    <row r="1384" spans="1:9" x14ac:dyDescent="0.2">
      <c r="A1384" s="2">
        <v>14</v>
      </c>
      <c r="B1384" s="1" t="s">
        <v>101</v>
      </c>
      <c r="C1384" s="4">
        <v>1</v>
      </c>
      <c r="D1384" s="8">
        <v>0.78</v>
      </c>
      <c r="E1384" s="4">
        <v>1</v>
      </c>
      <c r="F1384" s="8">
        <v>0.93</v>
      </c>
      <c r="G1384" s="4">
        <v>0</v>
      </c>
      <c r="H1384" s="8">
        <v>0</v>
      </c>
      <c r="I1384" s="4">
        <v>0</v>
      </c>
    </row>
    <row r="1385" spans="1:9" x14ac:dyDescent="0.2">
      <c r="A1385" s="2">
        <v>14</v>
      </c>
      <c r="B1385" s="1" t="s">
        <v>130</v>
      </c>
      <c r="C1385" s="4">
        <v>1</v>
      </c>
      <c r="D1385" s="8">
        <v>0.78</v>
      </c>
      <c r="E1385" s="4">
        <v>0</v>
      </c>
      <c r="F1385" s="8">
        <v>0</v>
      </c>
      <c r="G1385" s="4">
        <v>1</v>
      </c>
      <c r="H1385" s="8">
        <v>6.67</v>
      </c>
      <c r="I1385" s="4">
        <v>0</v>
      </c>
    </row>
    <row r="1386" spans="1:9" x14ac:dyDescent="0.2">
      <c r="A1386" s="2">
        <v>14</v>
      </c>
      <c r="B1386" s="1" t="s">
        <v>106</v>
      </c>
      <c r="C1386" s="4">
        <v>1</v>
      </c>
      <c r="D1386" s="8">
        <v>0.78</v>
      </c>
      <c r="E1386" s="4">
        <v>1</v>
      </c>
      <c r="F1386" s="8">
        <v>0.93</v>
      </c>
      <c r="G1386" s="4">
        <v>0</v>
      </c>
      <c r="H1386" s="8">
        <v>0</v>
      </c>
      <c r="I1386" s="4">
        <v>0</v>
      </c>
    </row>
    <row r="1387" spans="1:9" x14ac:dyDescent="0.2">
      <c r="A1387" s="2">
        <v>14</v>
      </c>
      <c r="B1387" s="1" t="s">
        <v>132</v>
      </c>
      <c r="C1387" s="4">
        <v>1</v>
      </c>
      <c r="D1387" s="8">
        <v>0.78</v>
      </c>
      <c r="E1387" s="4">
        <v>0</v>
      </c>
      <c r="F1387" s="8">
        <v>0</v>
      </c>
      <c r="G1387" s="4">
        <v>1</v>
      </c>
      <c r="H1387" s="8">
        <v>6.67</v>
      </c>
      <c r="I1387" s="4">
        <v>0</v>
      </c>
    </row>
    <row r="1388" spans="1:9" x14ac:dyDescent="0.2">
      <c r="A1388" s="1"/>
      <c r="C1388" s="4"/>
      <c r="D1388" s="8"/>
      <c r="E1388" s="4"/>
      <c r="F1388" s="8"/>
      <c r="G1388" s="4"/>
      <c r="H1388" s="8"/>
      <c r="I1388" s="4"/>
    </row>
    <row r="1389" spans="1:9" x14ac:dyDescent="0.2">
      <c r="A1389" s="1" t="s">
        <v>60</v>
      </c>
      <c r="C1389" s="4"/>
      <c r="D1389" s="8"/>
      <c r="E1389" s="4"/>
      <c r="F1389" s="8"/>
      <c r="G1389" s="4"/>
      <c r="H1389" s="8"/>
      <c r="I1389" s="4"/>
    </row>
    <row r="1390" spans="1:9" x14ac:dyDescent="0.2">
      <c r="A1390" s="2">
        <v>1</v>
      </c>
      <c r="B1390" s="1" t="s">
        <v>144</v>
      </c>
      <c r="C1390" s="4">
        <v>29</v>
      </c>
      <c r="D1390" s="8">
        <v>16.48</v>
      </c>
      <c r="E1390" s="4">
        <v>27</v>
      </c>
      <c r="F1390" s="8">
        <v>19.850000000000001</v>
      </c>
      <c r="G1390" s="4">
        <v>2</v>
      </c>
      <c r="H1390" s="8">
        <v>5.13</v>
      </c>
      <c r="I1390" s="4">
        <v>0</v>
      </c>
    </row>
    <row r="1391" spans="1:9" x14ac:dyDescent="0.2">
      <c r="A1391" s="2">
        <v>2</v>
      </c>
      <c r="B1391" s="1" t="s">
        <v>103</v>
      </c>
      <c r="C1391" s="4">
        <v>27</v>
      </c>
      <c r="D1391" s="8">
        <v>15.34</v>
      </c>
      <c r="E1391" s="4">
        <v>26</v>
      </c>
      <c r="F1391" s="8">
        <v>19.12</v>
      </c>
      <c r="G1391" s="4">
        <v>1</v>
      </c>
      <c r="H1391" s="8">
        <v>2.56</v>
      </c>
      <c r="I1391" s="4">
        <v>0</v>
      </c>
    </row>
    <row r="1392" spans="1:9" x14ac:dyDescent="0.2">
      <c r="A1392" s="2">
        <v>3</v>
      </c>
      <c r="B1392" s="1" t="s">
        <v>114</v>
      </c>
      <c r="C1392" s="4">
        <v>17</v>
      </c>
      <c r="D1392" s="8">
        <v>9.66</v>
      </c>
      <c r="E1392" s="4">
        <v>14</v>
      </c>
      <c r="F1392" s="8">
        <v>10.29</v>
      </c>
      <c r="G1392" s="4">
        <v>3</v>
      </c>
      <c r="H1392" s="8">
        <v>7.69</v>
      </c>
      <c r="I1392" s="4">
        <v>0</v>
      </c>
    </row>
    <row r="1393" spans="1:9" x14ac:dyDescent="0.2">
      <c r="A1393" s="2">
        <v>4</v>
      </c>
      <c r="B1393" s="1" t="s">
        <v>104</v>
      </c>
      <c r="C1393" s="4">
        <v>12</v>
      </c>
      <c r="D1393" s="8">
        <v>6.82</v>
      </c>
      <c r="E1393" s="4">
        <v>12</v>
      </c>
      <c r="F1393" s="8">
        <v>8.82</v>
      </c>
      <c r="G1393" s="4">
        <v>0</v>
      </c>
      <c r="H1393" s="8">
        <v>0</v>
      </c>
      <c r="I1393" s="4">
        <v>0</v>
      </c>
    </row>
    <row r="1394" spans="1:9" x14ac:dyDescent="0.2">
      <c r="A1394" s="2">
        <v>5</v>
      </c>
      <c r="B1394" s="1" t="s">
        <v>96</v>
      </c>
      <c r="C1394" s="4">
        <v>11</v>
      </c>
      <c r="D1394" s="8">
        <v>6.25</v>
      </c>
      <c r="E1394" s="4">
        <v>8</v>
      </c>
      <c r="F1394" s="8">
        <v>5.88</v>
      </c>
      <c r="G1394" s="4">
        <v>3</v>
      </c>
      <c r="H1394" s="8">
        <v>7.69</v>
      </c>
      <c r="I1394" s="4">
        <v>0</v>
      </c>
    </row>
    <row r="1395" spans="1:9" x14ac:dyDescent="0.2">
      <c r="A1395" s="2">
        <v>5</v>
      </c>
      <c r="B1395" s="1" t="s">
        <v>98</v>
      </c>
      <c r="C1395" s="4">
        <v>11</v>
      </c>
      <c r="D1395" s="8">
        <v>6.25</v>
      </c>
      <c r="E1395" s="4">
        <v>4</v>
      </c>
      <c r="F1395" s="8">
        <v>2.94</v>
      </c>
      <c r="G1395" s="4">
        <v>7</v>
      </c>
      <c r="H1395" s="8">
        <v>17.95</v>
      </c>
      <c r="I1395" s="4">
        <v>0</v>
      </c>
    </row>
    <row r="1396" spans="1:9" x14ac:dyDescent="0.2">
      <c r="A1396" s="2">
        <v>7</v>
      </c>
      <c r="B1396" s="1" t="s">
        <v>88</v>
      </c>
      <c r="C1396" s="4">
        <v>9</v>
      </c>
      <c r="D1396" s="8">
        <v>5.1100000000000003</v>
      </c>
      <c r="E1396" s="4">
        <v>3</v>
      </c>
      <c r="F1396" s="8">
        <v>2.21</v>
      </c>
      <c r="G1396" s="4">
        <v>6</v>
      </c>
      <c r="H1396" s="8">
        <v>15.38</v>
      </c>
      <c r="I1396" s="4">
        <v>0</v>
      </c>
    </row>
    <row r="1397" spans="1:9" x14ac:dyDescent="0.2">
      <c r="A1397" s="2">
        <v>7</v>
      </c>
      <c r="B1397" s="1" t="s">
        <v>89</v>
      </c>
      <c r="C1397" s="4">
        <v>9</v>
      </c>
      <c r="D1397" s="8">
        <v>5.1100000000000003</v>
      </c>
      <c r="E1397" s="4">
        <v>6</v>
      </c>
      <c r="F1397" s="8">
        <v>4.41</v>
      </c>
      <c r="G1397" s="4">
        <v>3</v>
      </c>
      <c r="H1397" s="8">
        <v>7.69</v>
      </c>
      <c r="I1397" s="4">
        <v>0</v>
      </c>
    </row>
    <row r="1398" spans="1:9" x14ac:dyDescent="0.2">
      <c r="A1398" s="2">
        <v>9</v>
      </c>
      <c r="B1398" s="1" t="s">
        <v>90</v>
      </c>
      <c r="C1398" s="4">
        <v>7</v>
      </c>
      <c r="D1398" s="8">
        <v>3.98</v>
      </c>
      <c r="E1398" s="4">
        <v>4</v>
      </c>
      <c r="F1398" s="8">
        <v>2.94</v>
      </c>
      <c r="G1398" s="4">
        <v>3</v>
      </c>
      <c r="H1398" s="8">
        <v>7.69</v>
      </c>
      <c r="I1398" s="4">
        <v>0</v>
      </c>
    </row>
    <row r="1399" spans="1:9" x14ac:dyDescent="0.2">
      <c r="A1399" s="2">
        <v>10</v>
      </c>
      <c r="B1399" s="1" t="s">
        <v>138</v>
      </c>
      <c r="C1399" s="4">
        <v>5</v>
      </c>
      <c r="D1399" s="8">
        <v>2.84</v>
      </c>
      <c r="E1399" s="4">
        <v>5</v>
      </c>
      <c r="F1399" s="8">
        <v>3.68</v>
      </c>
      <c r="G1399" s="4">
        <v>0</v>
      </c>
      <c r="H1399" s="8">
        <v>0</v>
      </c>
      <c r="I1399" s="4">
        <v>0</v>
      </c>
    </row>
    <row r="1400" spans="1:9" x14ac:dyDescent="0.2">
      <c r="A1400" s="2">
        <v>10</v>
      </c>
      <c r="B1400" s="1" t="s">
        <v>97</v>
      </c>
      <c r="C1400" s="4">
        <v>5</v>
      </c>
      <c r="D1400" s="8">
        <v>2.84</v>
      </c>
      <c r="E1400" s="4">
        <v>3</v>
      </c>
      <c r="F1400" s="8">
        <v>2.21</v>
      </c>
      <c r="G1400" s="4">
        <v>2</v>
      </c>
      <c r="H1400" s="8">
        <v>5.13</v>
      </c>
      <c r="I1400" s="4">
        <v>0</v>
      </c>
    </row>
    <row r="1401" spans="1:9" x14ac:dyDescent="0.2">
      <c r="A1401" s="2">
        <v>12</v>
      </c>
      <c r="B1401" s="1" t="s">
        <v>123</v>
      </c>
      <c r="C1401" s="4">
        <v>4</v>
      </c>
      <c r="D1401" s="8">
        <v>2.27</v>
      </c>
      <c r="E1401" s="4">
        <v>2</v>
      </c>
      <c r="F1401" s="8">
        <v>1.47</v>
      </c>
      <c r="G1401" s="4">
        <v>2</v>
      </c>
      <c r="H1401" s="8">
        <v>5.13</v>
      </c>
      <c r="I1401" s="4">
        <v>0</v>
      </c>
    </row>
    <row r="1402" spans="1:9" x14ac:dyDescent="0.2">
      <c r="A1402" s="2">
        <v>12</v>
      </c>
      <c r="B1402" s="1" t="s">
        <v>100</v>
      </c>
      <c r="C1402" s="4">
        <v>4</v>
      </c>
      <c r="D1402" s="8">
        <v>2.27</v>
      </c>
      <c r="E1402" s="4">
        <v>4</v>
      </c>
      <c r="F1402" s="8">
        <v>2.94</v>
      </c>
      <c r="G1402" s="4">
        <v>0</v>
      </c>
      <c r="H1402" s="8">
        <v>0</v>
      </c>
      <c r="I1402" s="4">
        <v>0</v>
      </c>
    </row>
    <row r="1403" spans="1:9" x14ac:dyDescent="0.2">
      <c r="A1403" s="2">
        <v>14</v>
      </c>
      <c r="B1403" s="1" t="s">
        <v>117</v>
      </c>
      <c r="C1403" s="4">
        <v>3</v>
      </c>
      <c r="D1403" s="8">
        <v>1.7</v>
      </c>
      <c r="E1403" s="4">
        <v>3</v>
      </c>
      <c r="F1403" s="8">
        <v>2.21</v>
      </c>
      <c r="G1403" s="4">
        <v>0</v>
      </c>
      <c r="H1403" s="8">
        <v>0</v>
      </c>
      <c r="I1403" s="4">
        <v>0</v>
      </c>
    </row>
    <row r="1404" spans="1:9" x14ac:dyDescent="0.2">
      <c r="A1404" s="2">
        <v>14</v>
      </c>
      <c r="B1404" s="1" t="s">
        <v>107</v>
      </c>
      <c r="C1404" s="4">
        <v>3</v>
      </c>
      <c r="D1404" s="8">
        <v>1.7</v>
      </c>
      <c r="E1404" s="4">
        <v>1</v>
      </c>
      <c r="F1404" s="8">
        <v>0.74</v>
      </c>
      <c r="G1404" s="4">
        <v>2</v>
      </c>
      <c r="H1404" s="8">
        <v>5.13</v>
      </c>
      <c r="I1404" s="4">
        <v>0</v>
      </c>
    </row>
    <row r="1405" spans="1:9" x14ac:dyDescent="0.2">
      <c r="A1405" s="2">
        <v>16</v>
      </c>
      <c r="B1405" s="1" t="s">
        <v>109</v>
      </c>
      <c r="C1405" s="4">
        <v>2</v>
      </c>
      <c r="D1405" s="8">
        <v>1.1399999999999999</v>
      </c>
      <c r="E1405" s="4">
        <v>2</v>
      </c>
      <c r="F1405" s="8">
        <v>1.47</v>
      </c>
      <c r="G1405" s="4">
        <v>0</v>
      </c>
      <c r="H1405" s="8">
        <v>0</v>
      </c>
      <c r="I1405" s="4">
        <v>0</v>
      </c>
    </row>
    <row r="1406" spans="1:9" x14ac:dyDescent="0.2">
      <c r="A1406" s="2">
        <v>16</v>
      </c>
      <c r="B1406" s="1" t="s">
        <v>110</v>
      </c>
      <c r="C1406" s="4">
        <v>2</v>
      </c>
      <c r="D1406" s="8">
        <v>1.1399999999999999</v>
      </c>
      <c r="E1406" s="4">
        <v>2</v>
      </c>
      <c r="F1406" s="8">
        <v>1.47</v>
      </c>
      <c r="G1406" s="4">
        <v>0</v>
      </c>
      <c r="H1406" s="8">
        <v>0</v>
      </c>
      <c r="I1406" s="4">
        <v>0</v>
      </c>
    </row>
    <row r="1407" spans="1:9" x14ac:dyDescent="0.2">
      <c r="A1407" s="2">
        <v>16</v>
      </c>
      <c r="B1407" s="1" t="s">
        <v>95</v>
      </c>
      <c r="C1407" s="4">
        <v>2</v>
      </c>
      <c r="D1407" s="8">
        <v>1.1399999999999999</v>
      </c>
      <c r="E1407" s="4">
        <v>2</v>
      </c>
      <c r="F1407" s="8">
        <v>1.47</v>
      </c>
      <c r="G1407" s="4">
        <v>0</v>
      </c>
      <c r="H1407" s="8">
        <v>0</v>
      </c>
      <c r="I1407" s="4">
        <v>0</v>
      </c>
    </row>
    <row r="1408" spans="1:9" x14ac:dyDescent="0.2">
      <c r="A1408" s="2">
        <v>16</v>
      </c>
      <c r="B1408" s="1" t="s">
        <v>101</v>
      </c>
      <c r="C1408" s="4">
        <v>2</v>
      </c>
      <c r="D1408" s="8">
        <v>1.1399999999999999</v>
      </c>
      <c r="E1408" s="4">
        <v>1</v>
      </c>
      <c r="F1408" s="8">
        <v>0.74</v>
      </c>
      <c r="G1408" s="4">
        <v>1</v>
      </c>
      <c r="H1408" s="8">
        <v>2.56</v>
      </c>
      <c r="I1408" s="4">
        <v>0</v>
      </c>
    </row>
    <row r="1409" spans="1:9" x14ac:dyDescent="0.2">
      <c r="A1409" s="2">
        <v>16</v>
      </c>
      <c r="B1409" s="1" t="s">
        <v>102</v>
      </c>
      <c r="C1409" s="4">
        <v>2</v>
      </c>
      <c r="D1409" s="8">
        <v>1.1399999999999999</v>
      </c>
      <c r="E1409" s="4">
        <v>1</v>
      </c>
      <c r="F1409" s="8">
        <v>0.74</v>
      </c>
      <c r="G1409" s="4">
        <v>1</v>
      </c>
      <c r="H1409" s="8">
        <v>2.56</v>
      </c>
      <c r="I1409" s="4">
        <v>0</v>
      </c>
    </row>
    <row r="1410" spans="1:9" x14ac:dyDescent="0.2">
      <c r="A1410" s="1"/>
      <c r="C1410" s="4"/>
      <c r="D1410" s="8"/>
      <c r="E1410" s="4"/>
      <c r="F1410" s="8"/>
      <c r="G1410" s="4"/>
      <c r="H1410" s="8"/>
      <c r="I1410" s="4"/>
    </row>
    <row r="1411" spans="1:9" x14ac:dyDescent="0.2">
      <c r="A1411" s="1" t="s">
        <v>61</v>
      </c>
      <c r="C1411" s="4"/>
      <c r="D1411" s="8"/>
      <c r="E1411" s="4"/>
      <c r="F1411" s="8"/>
      <c r="G1411" s="4"/>
      <c r="H1411" s="8"/>
      <c r="I1411" s="4"/>
    </row>
    <row r="1412" spans="1:9" x14ac:dyDescent="0.2">
      <c r="A1412" s="2">
        <v>1</v>
      </c>
      <c r="B1412" s="1" t="s">
        <v>152</v>
      </c>
      <c r="C1412" s="4">
        <v>6</v>
      </c>
      <c r="D1412" s="8">
        <v>37.5</v>
      </c>
      <c r="E1412" s="4">
        <v>6</v>
      </c>
      <c r="F1412" s="8">
        <v>46.15</v>
      </c>
      <c r="G1412" s="4">
        <v>0</v>
      </c>
      <c r="H1412" s="8">
        <v>0</v>
      </c>
      <c r="I1412" s="4">
        <v>0</v>
      </c>
    </row>
    <row r="1413" spans="1:9" x14ac:dyDescent="0.2">
      <c r="A1413" s="2">
        <v>2</v>
      </c>
      <c r="B1413" s="1" t="s">
        <v>98</v>
      </c>
      <c r="C1413" s="4">
        <v>3</v>
      </c>
      <c r="D1413" s="8">
        <v>18.75</v>
      </c>
      <c r="E1413" s="4">
        <v>1</v>
      </c>
      <c r="F1413" s="8">
        <v>7.69</v>
      </c>
      <c r="G1413" s="4">
        <v>2</v>
      </c>
      <c r="H1413" s="8">
        <v>66.67</v>
      </c>
      <c r="I1413" s="4">
        <v>0</v>
      </c>
    </row>
    <row r="1414" spans="1:9" x14ac:dyDescent="0.2">
      <c r="A1414" s="2">
        <v>2</v>
      </c>
      <c r="B1414" s="1" t="s">
        <v>144</v>
      </c>
      <c r="C1414" s="4">
        <v>3</v>
      </c>
      <c r="D1414" s="8">
        <v>18.75</v>
      </c>
      <c r="E1414" s="4">
        <v>3</v>
      </c>
      <c r="F1414" s="8">
        <v>23.08</v>
      </c>
      <c r="G1414" s="4">
        <v>0</v>
      </c>
      <c r="H1414" s="8">
        <v>0</v>
      </c>
      <c r="I1414" s="4">
        <v>0</v>
      </c>
    </row>
    <row r="1415" spans="1:9" x14ac:dyDescent="0.2">
      <c r="A1415" s="2">
        <v>4</v>
      </c>
      <c r="B1415" s="1" t="s">
        <v>103</v>
      </c>
      <c r="C1415" s="4">
        <v>1</v>
      </c>
      <c r="D1415" s="8">
        <v>6.25</v>
      </c>
      <c r="E1415" s="4">
        <v>1</v>
      </c>
      <c r="F1415" s="8">
        <v>7.69</v>
      </c>
      <c r="G1415" s="4">
        <v>0</v>
      </c>
      <c r="H1415" s="8">
        <v>0</v>
      </c>
      <c r="I1415" s="4">
        <v>0</v>
      </c>
    </row>
    <row r="1416" spans="1:9" x14ac:dyDescent="0.2">
      <c r="A1416" s="2">
        <v>4</v>
      </c>
      <c r="B1416" s="1" t="s">
        <v>130</v>
      </c>
      <c r="C1416" s="4">
        <v>1</v>
      </c>
      <c r="D1416" s="8">
        <v>6.25</v>
      </c>
      <c r="E1416" s="4">
        <v>1</v>
      </c>
      <c r="F1416" s="8">
        <v>7.69</v>
      </c>
      <c r="G1416" s="4">
        <v>0</v>
      </c>
      <c r="H1416" s="8">
        <v>0</v>
      </c>
      <c r="I1416" s="4">
        <v>0</v>
      </c>
    </row>
    <row r="1417" spans="1:9" x14ac:dyDescent="0.2">
      <c r="A1417" s="2">
        <v>4</v>
      </c>
      <c r="B1417" s="1" t="s">
        <v>104</v>
      </c>
      <c r="C1417" s="4">
        <v>1</v>
      </c>
      <c r="D1417" s="8">
        <v>6.25</v>
      </c>
      <c r="E1417" s="4">
        <v>1</v>
      </c>
      <c r="F1417" s="8">
        <v>7.69</v>
      </c>
      <c r="G1417" s="4">
        <v>0</v>
      </c>
      <c r="H1417" s="8">
        <v>0</v>
      </c>
      <c r="I1417" s="4">
        <v>0</v>
      </c>
    </row>
    <row r="1418" spans="1:9" x14ac:dyDescent="0.2">
      <c r="A1418" s="2">
        <v>4</v>
      </c>
      <c r="B1418" s="1" t="s">
        <v>114</v>
      </c>
      <c r="C1418" s="4">
        <v>1</v>
      </c>
      <c r="D1418" s="8">
        <v>6.25</v>
      </c>
      <c r="E1418" s="4">
        <v>0</v>
      </c>
      <c r="F1418" s="8">
        <v>0</v>
      </c>
      <c r="G1418" s="4">
        <v>1</v>
      </c>
      <c r="H1418" s="8">
        <v>33.33</v>
      </c>
      <c r="I1418" s="4">
        <v>0</v>
      </c>
    </row>
    <row r="1419" spans="1:9" x14ac:dyDescent="0.2">
      <c r="A1419" s="1"/>
      <c r="C1419" s="4"/>
      <c r="D1419" s="8"/>
      <c r="E1419" s="4"/>
      <c r="F1419" s="8"/>
      <c r="G1419" s="4"/>
      <c r="H1419" s="8"/>
      <c r="I1419" s="4"/>
    </row>
    <row r="1420" spans="1:9" x14ac:dyDescent="0.2">
      <c r="A1420" s="1" t="s">
        <v>62</v>
      </c>
      <c r="C1420" s="4"/>
      <c r="D1420" s="8"/>
      <c r="E1420" s="4"/>
      <c r="F1420" s="8"/>
      <c r="G1420" s="4"/>
      <c r="H1420" s="8"/>
      <c r="I1420" s="4"/>
    </row>
    <row r="1421" spans="1:9" x14ac:dyDescent="0.2">
      <c r="A1421" s="2">
        <v>1</v>
      </c>
      <c r="B1421" s="1" t="s">
        <v>103</v>
      </c>
      <c r="C1421" s="4">
        <v>96</v>
      </c>
      <c r="D1421" s="8">
        <v>26.82</v>
      </c>
      <c r="E1421" s="4">
        <v>83</v>
      </c>
      <c r="F1421" s="8">
        <v>34.58</v>
      </c>
      <c r="G1421" s="4">
        <v>13</v>
      </c>
      <c r="H1421" s="8">
        <v>11.61</v>
      </c>
      <c r="I1421" s="4">
        <v>0</v>
      </c>
    </row>
    <row r="1422" spans="1:9" x14ac:dyDescent="0.2">
      <c r="A1422" s="2">
        <v>2</v>
      </c>
      <c r="B1422" s="1" t="s">
        <v>144</v>
      </c>
      <c r="C1422" s="4">
        <v>32</v>
      </c>
      <c r="D1422" s="8">
        <v>8.94</v>
      </c>
      <c r="E1422" s="4">
        <v>26</v>
      </c>
      <c r="F1422" s="8">
        <v>10.83</v>
      </c>
      <c r="G1422" s="4">
        <v>6</v>
      </c>
      <c r="H1422" s="8">
        <v>5.36</v>
      </c>
      <c r="I1422" s="4">
        <v>0</v>
      </c>
    </row>
    <row r="1423" spans="1:9" x14ac:dyDescent="0.2">
      <c r="A1423" s="2">
        <v>3</v>
      </c>
      <c r="B1423" s="1" t="s">
        <v>104</v>
      </c>
      <c r="C1423" s="4">
        <v>26</v>
      </c>
      <c r="D1423" s="8">
        <v>7.26</v>
      </c>
      <c r="E1423" s="4">
        <v>25</v>
      </c>
      <c r="F1423" s="8">
        <v>10.42</v>
      </c>
      <c r="G1423" s="4">
        <v>1</v>
      </c>
      <c r="H1423" s="8">
        <v>0.89</v>
      </c>
      <c r="I1423" s="4">
        <v>0</v>
      </c>
    </row>
    <row r="1424" spans="1:9" x14ac:dyDescent="0.2">
      <c r="A1424" s="2">
        <v>4</v>
      </c>
      <c r="B1424" s="1" t="s">
        <v>96</v>
      </c>
      <c r="C1424" s="4">
        <v>20</v>
      </c>
      <c r="D1424" s="8">
        <v>5.59</v>
      </c>
      <c r="E1424" s="4">
        <v>14</v>
      </c>
      <c r="F1424" s="8">
        <v>5.83</v>
      </c>
      <c r="G1424" s="4">
        <v>5</v>
      </c>
      <c r="H1424" s="8">
        <v>4.46</v>
      </c>
      <c r="I1424" s="4">
        <v>1</v>
      </c>
    </row>
    <row r="1425" spans="1:9" x14ac:dyDescent="0.2">
      <c r="A1425" s="2">
        <v>5</v>
      </c>
      <c r="B1425" s="1" t="s">
        <v>98</v>
      </c>
      <c r="C1425" s="4">
        <v>16</v>
      </c>
      <c r="D1425" s="8">
        <v>4.47</v>
      </c>
      <c r="E1425" s="4">
        <v>8</v>
      </c>
      <c r="F1425" s="8">
        <v>3.33</v>
      </c>
      <c r="G1425" s="4">
        <v>8</v>
      </c>
      <c r="H1425" s="8">
        <v>7.14</v>
      </c>
      <c r="I1425" s="4">
        <v>0</v>
      </c>
    </row>
    <row r="1426" spans="1:9" x14ac:dyDescent="0.2">
      <c r="A1426" s="2">
        <v>6</v>
      </c>
      <c r="B1426" s="1" t="s">
        <v>88</v>
      </c>
      <c r="C1426" s="4">
        <v>15</v>
      </c>
      <c r="D1426" s="8">
        <v>4.1900000000000004</v>
      </c>
      <c r="E1426" s="4">
        <v>3</v>
      </c>
      <c r="F1426" s="8">
        <v>1.25</v>
      </c>
      <c r="G1426" s="4">
        <v>12</v>
      </c>
      <c r="H1426" s="8">
        <v>10.71</v>
      </c>
      <c r="I1426" s="4">
        <v>0</v>
      </c>
    </row>
    <row r="1427" spans="1:9" x14ac:dyDescent="0.2">
      <c r="A1427" s="2">
        <v>7</v>
      </c>
      <c r="B1427" s="1" t="s">
        <v>138</v>
      </c>
      <c r="C1427" s="4">
        <v>14</v>
      </c>
      <c r="D1427" s="8">
        <v>3.91</v>
      </c>
      <c r="E1427" s="4">
        <v>8</v>
      </c>
      <c r="F1427" s="8">
        <v>3.33</v>
      </c>
      <c r="G1427" s="4">
        <v>5</v>
      </c>
      <c r="H1427" s="8">
        <v>4.46</v>
      </c>
      <c r="I1427" s="4">
        <v>1</v>
      </c>
    </row>
    <row r="1428" spans="1:9" x14ac:dyDescent="0.2">
      <c r="A1428" s="2">
        <v>8</v>
      </c>
      <c r="B1428" s="1" t="s">
        <v>89</v>
      </c>
      <c r="C1428" s="4">
        <v>10</v>
      </c>
      <c r="D1428" s="8">
        <v>2.79</v>
      </c>
      <c r="E1428" s="4">
        <v>5</v>
      </c>
      <c r="F1428" s="8">
        <v>2.08</v>
      </c>
      <c r="G1428" s="4">
        <v>5</v>
      </c>
      <c r="H1428" s="8">
        <v>4.46</v>
      </c>
      <c r="I1428" s="4">
        <v>0</v>
      </c>
    </row>
    <row r="1429" spans="1:9" x14ac:dyDescent="0.2">
      <c r="A1429" s="2">
        <v>8</v>
      </c>
      <c r="B1429" s="1" t="s">
        <v>114</v>
      </c>
      <c r="C1429" s="4">
        <v>10</v>
      </c>
      <c r="D1429" s="8">
        <v>2.79</v>
      </c>
      <c r="E1429" s="4">
        <v>7</v>
      </c>
      <c r="F1429" s="8">
        <v>2.92</v>
      </c>
      <c r="G1429" s="4">
        <v>3</v>
      </c>
      <c r="H1429" s="8">
        <v>2.68</v>
      </c>
      <c r="I1429" s="4">
        <v>0</v>
      </c>
    </row>
    <row r="1430" spans="1:9" x14ac:dyDescent="0.2">
      <c r="A1430" s="2">
        <v>8</v>
      </c>
      <c r="B1430" s="1" t="s">
        <v>106</v>
      </c>
      <c r="C1430" s="4">
        <v>10</v>
      </c>
      <c r="D1430" s="8">
        <v>2.79</v>
      </c>
      <c r="E1430" s="4">
        <v>7</v>
      </c>
      <c r="F1430" s="8">
        <v>2.92</v>
      </c>
      <c r="G1430" s="4">
        <v>3</v>
      </c>
      <c r="H1430" s="8">
        <v>2.68</v>
      </c>
      <c r="I1430" s="4">
        <v>0</v>
      </c>
    </row>
    <row r="1431" spans="1:9" x14ac:dyDescent="0.2">
      <c r="A1431" s="2">
        <v>11</v>
      </c>
      <c r="B1431" s="1" t="s">
        <v>97</v>
      </c>
      <c r="C1431" s="4">
        <v>9</v>
      </c>
      <c r="D1431" s="8">
        <v>2.5099999999999998</v>
      </c>
      <c r="E1431" s="4">
        <v>4</v>
      </c>
      <c r="F1431" s="8">
        <v>1.67</v>
      </c>
      <c r="G1431" s="4">
        <v>5</v>
      </c>
      <c r="H1431" s="8">
        <v>4.46</v>
      </c>
      <c r="I1431" s="4">
        <v>0</v>
      </c>
    </row>
    <row r="1432" spans="1:9" x14ac:dyDescent="0.2">
      <c r="A1432" s="2">
        <v>11</v>
      </c>
      <c r="B1432" s="1" t="s">
        <v>105</v>
      </c>
      <c r="C1432" s="4">
        <v>9</v>
      </c>
      <c r="D1432" s="8">
        <v>2.5099999999999998</v>
      </c>
      <c r="E1432" s="4">
        <v>9</v>
      </c>
      <c r="F1432" s="8">
        <v>3.75</v>
      </c>
      <c r="G1432" s="4">
        <v>0</v>
      </c>
      <c r="H1432" s="8">
        <v>0</v>
      </c>
      <c r="I1432" s="4">
        <v>0</v>
      </c>
    </row>
    <row r="1433" spans="1:9" x14ac:dyDescent="0.2">
      <c r="A1433" s="2">
        <v>13</v>
      </c>
      <c r="B1433" s="1" t="s">
        <v>123</v>
      </c>
      <c r="C1433" s="4">
        <v>8</v>
      </c>
      <c r="D1433" s="8">
        <v>2.23</v>
      </c>
      <c r="E1433" s="4">
        <v>5</v>
      </c>
      <c r="F1433" s="8">
        <v>2.08</v>
      </c>
      <c r="G1433" s="4">
        <v>3</v>
      </c>
      <c r="H1433" s="8">
        <v>2.68</v>
      </c>
      <c r="I1433" s="4">
        <v>0</v>
      </c>
    </row>
    <row r="1434" spans="1:9" x14ac:dyDescent="0.2">
      <c r="A1434" s="2">
        <v>13</v>
      </c>
      <c r="B1434" s="1" t="s">
        <v>100</v>
      </c>
      <c r="C1434" s="4">
        <v>8</v>
      </c>
      <c r="D1434" s="8">
        <v>2.23</v>
      </c>
      <c r="E1434" s="4">
        <v>6</v>
      </c>
      <c r="F1434" s="8">
        <v>2.5</v>
      </c>
      <c r="G1434" s="4">
        <v>2</v>
      </c>
      <c r="H1434" s="8">
        <v>1.79</v>
      </c>
      <c r="I1434" s="4">
        <v>0</v>
      </c>
    </row>
    <row r="1435" spans="1:9" x14ac:dyDescent="0.2">
      <c r="A1435" s="2">
        <v>13</v>
      </c>
      <c r="B1435" s="1" t="s">
        <v>102</v>
      </c>
      <c r="C1435" s="4">
        <v>8</v>
      </c>
      <c r="D1435" s="8">
        <v>2.23</v>
      </c>
      <c r="E1435" s="4">
        <v>5</v>
      </c>
      <c r="F1435" s="8">
        <v>2.08</v>
      </c>
      <c r="G1435" s="4">
        <v>2</v>
      </c>
      <c r="H1435" s="8">
        <v>1.79</v>
      </c>
      <c r="I1435" s="4">
        <v>0</v>
      </c>
    </row>
    <row r="1436" spans="1:9" x14ac:dyDescent="0.2">
      <c r="A1436" s="2">
        <v>16</v>
      </c>
      <c r="B1436" s="1" t="s">
        <v>95</v>
      </c>
      <c r="C1436" s="4">
        <v>7</v>
      </c>
      <c r="D1436" s="8">
        <v>1.96</v>
      </c>
      <c r="E1436" s="4">
        <v>6</v>
      </c>
      <c r="F1436" s="8">
        <v>2.5</v>
      </c>
      <c r="G1436" s="4">
        <v>1</v>
      </c>
      <c r="H1436" s="8">
        <v>0.89</v>
      </c>
      <c r="I1436" s="4">
        <v>0</v>
      </c>
    </row>
    <row r="1437" spans="1:9" x14ac:dyDescent="0.2">
      <c r="A1437" s="2">
        <v>16</v>
      </c>
      <c r="B1437" s="1" t="s">
        <v>107</v>
      </c>
      <c r="C1437" s="4">
        <v>7</v>
      </c>
      <c r="D1437" s="8">
        <v>1.96</v>
      </c>
      <c r="E1437" s="4">
        <v>2</v>
      </c>
      <c r="F1437" s="8">
        <v>0.83</v>
      </c>
      <c r="G1437" s="4">
        <v>4</v>
      </c>
      <c r="H1437" s="8">
        <v>3.57</v>
      </c>
      <c r="I1437" s="4">
        <v>1</v>
      </c>
    </row>
    <row r="1438" spans="1:9" x14ac:dyDescent="0.2">
      <c r="A1438" s="2">
        <v>18</v>
      </c>
      <c r="B1438" s="1" t="s">
        <v>90</v>
      </c>
      <c r="C1438" s="4">
        <v>6</v>
      </c>
      <c r="D1438" s="8">
        <v>1.68</v>
      </c>
      <c r="E1438" s="4">
        <v>1</v>
      </c>
      <c r="F1438" s="8">
        <v>0.42</v>
      </c>
      <c r="G1438" s="4">
        <v>5</v>
      </c>
      <c r="H1438" s="8">
        <v>4.46</v>
      </c>
      <c r="I1438" s="4">
        <v>0</v>
      </c>
    </row>
    <row r="1439" spans="1:9" x14ac:dyDescent="0.2">
      <c r="A1439" s="2">
        <v>18</v>
      </c>
      <c r="B1439" s="1" t="s">
        <v>142</v>
      </c>
      <c r="C1439" s="4">
        <v>6</v>
      </c>
      <c r="D1439" s="8">
        <v>1.68</v>
      </c>
      <c r="E1439" s="4">
        <v>4</v>
      </c>
      <c r="F1439" s="8">
        <v>1.67</v>
      </c>
      <c r="G1439" s="4">
        <v>2</v>
      </c>
      <c r="H1439" s="8">
        <v>1.79</v>
      </c>
      <c r="I1439" s="4">
        <v>0</v>
      </c>
    </row>
    <row r="1440" spans="1:9" x14ac:dyDescent="0.2">
      <c r="A1440" s="2">
        <v>20</v>
      </c>
      <c r="B1440" s="1" t="s">
        <v>151</v>
      </c>
      <c r="C1440" s="4">
        <v>4</v>
      </c>
      <c r="D1440" s="8">
        <v>1.1200000000000001</v>
      </c>
      <c r="E1440" s="4">
        <v>0</v>
      </c>
      <c r="F1440" s="8">
        <v>0</v>
      </c>
      <c r="G1440" s="4">
        <v>4</v>
      </c>
      <c r="H1440" s="8">
        <v>3.57</v>
      </c>
      <c r="I1440" s="4">
        <v>0</v>
      </c>
    </row>
    <row r="1441" spans="1:9" x14ac:dyDescent="0.2">
      <c r="A1441" s="2">
        <v>20</v>
      </c>
      <c r="B1441" s="1" t="s">
        <v>109</v>
      </c>
      <c r="C1441" s="4">
        <v>4</v>
      </c>
      <c r="D1441" s="8">
        <v>1.1200000000000001</v>
      </c>
      <c r="E1441" s="4">
        <v>2</v>
      </c>
      <c r="F1441" s="8">
        <v>0.83</v>
      </c>
      <c r="G1441" s="4">
        <v>2</v>
      </c>
      <c r="H1441" s="8">
        <v>1.79</v>
      </c>
      <c r="I1441" s="4">
        <v>0</v>
      </c>
    </row>
    <row r="1442" spans="1:9" x14ac:dyDescent="0.2">
      <c r="A1442" s="2">
        <v>20</v>
      </c>
      <c r="B1442" s="1" t="s">
        <v>110</v>
      </c>
      <c r="C1442" s="4">
        <v>4</v>
      </c>
      <c r="D1442" s="8">
        <v>1.1200000000000001</v>
      </c>
      <c r="E1442" s="4">
        <v>0</v>
      </c>
      <c r="F1442" s="8">
        <v>0</v>
      </c>
      <c r="G1442" s="4">
        <v>4</v>
      </c>
      <c r="H1442" s="8">
        <v>3.57</v>
      </c>
      <c r="I1442" s="4">
        <v>0</v>
      </c>
    </row>
    <row r="1443" spans="1:9" x14ac:dyDescent="0.2">
      <c r="A1443" s="2">
        <v>20</v>
      </c>
      <c r="B1443" s="1" t="s">
        <v>130</v>
      </c>
      <c r="C1443" s="4">
        <v>4</v>
      </c>
      <c r="D1443" s="8">
        <v>1.1200000000000001</v>
      </c>
      <c r="E1443" s="4">
        <v>3</v>
      </c>
      <c r="F1443" s="8">
        <v>1.25</v>
      </c>
      <c r="G1443" s="4">
        <v>0</v>
      </c>
      <c r="H1443" s="8">
        <v>0</v>
      </c>
      <c r="I1443" s="4">
        <v>0</v>
      </c>
    </row>
    <row r="1444" spans="1:9" x14ac:dyDescent="0.2">
      <c r="A1444" s="1"/>
      <c r="C1444" s="4"/>
      <c r="D1444" s="8"/>
      <c r="E1444" s="4"/>
      <c r="F1444" s="8"/>
      <c r="G1444" s="4"/>
      <c r="H1444" s="8"/>
      <c r="I1444" s="4"/>
    </row>
    <row r="1445" spans="1:9" x14ac:dyDescent="0.2">
      <c r="A1445" s="1" t="s">
        <v>63</v>
      </c>
      <c r="C1445" s="4"/>
      <c r="D1445" s="8"/>
      <c r="E1445" s="4"/>
      <c r="F1445" s="8"/>
      <c r="G1445" s="4"/>
      <c r="H1445" s="8"/>
      <c r="I1445" s="4"/>
    </row>
    <row r="1446" spans="1:9" x14ac:dyDescent="0.2">
      <c r="A1446" s="2">
        <v>1</v>
      </c>
      <c r="B1446" s="1" t="s">
        <v>144</v>
      </c>
      <c r="C1446" s="4">
        <v>4</v>
      </c>
      <c r="D1446" s="8">
        <v>33.33</v>
      </c>
      <c r="E1446" s="4">
        <v>3</v>
      </c>
      <c r="F1446" s="8">
        <v>50</v>
      </c>
      <c r="G1446" s="4">
        <v>1</v>
      </c>
      <c r="H1446" s="8">
        <v>20</v>
      </c>
      <c r="I1446" s="4">
        <v>0</v>
      </c>
    </row>
    <row r="1447" spans="1:9" x14ac:dyDescent="0.2">
      <c r="A1447" s="2">
        <v>2</v>
      </c>
      <c r="B1447" s="1" t="s">
        <v>103</v>
      </c>
      <c r="C1447" s="4">
        <v>2</v>
      </c>
      <c r="D1447" s="8">
        <v>16.670000000000002</v>
      </c>
      <c r="E1447" s="4">
        <v>2</v>
      </c>
      <c r="F1447" s="8">
        <v>33.33</v>
      </c>
      <c r="G1447" s="4">
        <v>0</v>
      </c>
      <c r="H1447" s="8">
        <v>0</v>
      </c>
      <c r="I1447" s="4">
        <v>0</v>
      </c>
    </row>
    <row r="1448" spans="1:9" x14ac:dyDescent="0.2">
      <c r="A1448" s="2">
        <v>3</v>
      </c>
      <c r="B1448" s="1" t="s">
        <v>90</v>
      </c>
      <c r="C1448" s="4">
        <v>1</v>
      </c>
      <c r="D1448" s="8">
        <v>8.33</v>
      </c>
      <c r="E1448" s="4">
        <v>0</v>
      </c>
      <c r="F1448" s="8">
        <v>0</v>
      </c>
      <c r="G1448" s="4">
        <v>1</v>
      </c>
      <c r="H1448" s="8">
        <v>20</v>
      </c>
      <c r="I1448" s="4">
        <v>0</v>
      </c>
    </row>
    <row r="1449" spans="1:9" x14ac:dyDescent="0.2">
      <c r="A1449" s="2">
        <v>3</v>
      </c>
      <c r="B1449" s="1" t="s">
        <v>151</v>
      </c>
      <c r="C1449" s="4">
        <v>1</v>
      </c>
      <c r="D1449" s="8">
        <v>8.33</v>
      </c>
      <c r="E1449" s="4">
        <v>0</v>
      </c>
      <c r="F1449" s="8">
        <v>0</v>
      </c>
      <c r="G1449" s="4">
        <v>1</v>
      </c>
      <c r="H1449" s="8">
        <v>20</v>
      </c>
      <c r="I1449" s="4">
        <v>0</v>
      </c>
    </row>
    <row r="1450" spans="1:9" x14ac:dyDescent="0.2">
      <c r="A1450" s="2">
        <v>3</v>
      </c>
      <c r="B1450" s="1" t="s">
        <v>125</v>
      </c>
      <c r="C1450" s="4">
        <v>1</v>
      </c>
      <c r="D1450" s="8">
        <v>8.33</v>
      </c>
      <c r="E1450" s="4">
        <v>0</v>
      </c>
      <c r="F1450" s="8">
        <v>0</v>
      </c>
      <c r="G1450" s="4">
        <v>1</v>
      </c>
      <c r="H1450" s="8">
        <v>20</v>
      </c>
      <c r="I1450" s="4">
        <v>0</v>
      </c>
    </row>
    <row r="1451" spans="1:9" x14ac:dyDescent="0.2">
      <c r="A1451" s="2">
        <v>3</v>
      </c>
      <c r="B1451" s="1" t="s">
        <v>96</v>
      </c>
      <c r="C1451" s="4">
        <v>1</v>
      </c>
      <c r="D1451" s="8">
        <v>8.33</v>
      </c>
      <c r="E1451" s="4">
        <v>1</v>
      </c>
      <c r="F1451" s="8">
        <v>16.670000000000002</v>
      </c>
      <c r="G1451" s="4">
        <v>0</v>
      </c>
      <c r="H1451" s="8">
        <v>0</v>
      </c>
      <c r="I1451" s="4">
        <v>0</v>
      </c>
    </row>
    <row r="1452" spans="1:9" x14ac:dyDescent="0.2">
      <c r="A1452" s="2">
        <v>3</v>
      </c>
      <c r="B1452" s="1" t="s">
        <v>132</v>
      </c>
      <c r="C1452" s="4">
        <v>1</v>
      </c>
      <c r="D1452" s="8">
        <v>8.33</v>
      </c>
      <c r="E1452" s="4">
        <v>0</v>
      </c>
      <c r="F1452" s="8">
        <v>0</v>
      </c>
      <c r="G1452" s="4">
        <v>0</v>
      </c>
      <c r="H1452" s="8">
        <v>0</v>
      </c>
      <c r="I1452" s="4">
        <v>0</v>
      </c>
    </row>
    <row r="1453" spans="1:9" x14ac:dyDescent="0.2">
      <c r="A1453" s="2">
        <v>3</v>
      </c>
      <c r="B1453" s="1" t="s">
        <v>133</v>
      </c>
      <c r="C1453" s="4">
        <v>1</v>
      </c>
      <c r="D1453" s="8">
        <v>8.33</v>
      </c>
      <c r="E1453" s="4">
        <v>0</v>
      </c>
      <c r="F1453" s="8">
        <v>0</v>
      </c>
      <c r="G1453" s="4">
        <v>1</v>
      </c>
      <c r="H1453" s="8">
        <v>20</v>
      </c>
      <c r="I1453" s="4">
        <v>0</v>
      </c>
    </row>
    <row r="1454" spans="1:9" x14ac:dyDescent="0.2">
      <c r="A1454" s="1"/>
      <c r="C1454" s="4"/>
      <c r="D1454" s="8"/>
      <c r="E1454" s="4"/>
      <c r="F1454" s="8"/>
      <c r="G1454" s="4"/>
      <c r="H1454" s="8"/>
      <c r="I1454" s="4"/>
    </row>
    <row r="1455" spans="1:9" x14ac:dyDescent="0.2">
      <c r="A1455" s="1" t="s">
        <v>64</v>
      </c>
      <c r="C1455" s="4"/>
      <c r="D1455" s="8"/>
      <c r="E1455" s="4"/>
      <c r="F1455" s="8"/>
      <c r="G1455" s="4"/>
      <c r="H1455" s="8"/>
      <c r="I1455" s="4"/>
    </row>
    <row r="1456" spans="1:9" x14ac:dyDescent="0.2">
      <c r="A1456" s="2">
        <v>1</v>
      </c>
      <c r="B1456" s="1" t="s">
        <v>144</v>
      </c>
      <c r="C1456" s="4">
        <v>50</v>
      </c>
      <c r="D1456" s="8">
        <v>26.18</v>
      </c>
      <c r="E1456" s="4">
        <v>41</v>
      </c>
      <c r="F1456" s="8">
        <v>33.06</v>
      </c>
      <c r="G1456" s="4">
        <v>9</v>
      </c>
      <c r="H1456" s="8">
        <v>13.85</v>
      </c>
      <c r="I1456" s="4">
        <v>0</v>
      </c>
    </row>
    <row r="1457" spans="1:9" x14ac:dyDescent="0.2">
      <c r="A1457" s="2">
        <v>2</v>
      </c>
      <c r="B1457" s="1" t="s">
        <v>103</v>
      </c>
      <c r="C1457" s="4">
        <v>26</v>
      </c>
      <c r="D1457" s="8">
        <v>13.61</v>
      </c>
      <c r="E1457" s="4">
        <v>21</v>
      </c>
      <c r="F1457" s="8">
        <v>16.940000000000001</v>
      </c>
      <c r="G1457" s="4">
        <v>5</v>
      </c>
      <c r="H1457" s="8">
        <v>7.69</v>
      </c>
      <c r="I1457" s="4">
        <v>0</v>
      </c>
    </row>
    <row r="1458" spans="1:9" x14ac:dyDescent="0.2">
      <c r="A1458" s="2">
        <v>3</v>
      </c>
      <c r="B1458" s="1" t="s">
        <v>100</v>
      </c>
      <c r="C1458" s="4">
        <v>20</v>
      </c>
      <c r="D1458" s="8">
        <v>10.47</v>
      </c>
      <c r="E1458" s="4">
        <v>18</v>
      </c>
      <c r="F1458" s="8">
        <v>14.52</v>
      </c>
      <c r="G1458" s="4">
        <v>2</v>
      </c>
      <c r="H1458" s="8">
        <v>3.08</v>
      </c>
      <c r="I1458" s="4">
        <v>0</v>
      </c>
    </row>
    <row r="1459" spans="1:9" x14ac:dyDescent="0.2">
      <c r="A1459" s="2">
        <v>4</v>
      </c>
      <c r="B1459" s="1" t="s">
        <v>98</v>
      </c>
      <c r="C1459" s="4">
        <v>16</v>
      </c>
      <c r="D1459" s="8">
        <v>8.3800000000000008</v>
      </c>
      <c r="E1459" s="4">
        <v>10</v>
      </c>
      <c r="F1459" s="8">
        <v>8.06</v>
      </c>
      <c r="G1459" s="4">
        <v>6</v>
      </c>
      <c r="H1459" s="8">
        <v>9.23</v>
      </c>
      <c r="I1459" s="4">
        <v>0</v>
      </c>
    </row>
    <row r="1460" spans="1:9" x14ac:dyDescent="0.2">
      <c r="A1460" s="2">
        <v>5</v>
      </c>
      <c r="B1460" s="1" t="s">
        <v>88</v>
      </c>
      <c r="C1460" s="4">
        <v>8</v>
      </c>
      <c r="D1460" s="8">
        <v>4.1900000000000004</v>
      </c>
      <c r="E1460" s="4">
        <v>0</v>
      </c>
      <c r="F1460" s="8">
        <v>0</v>
      </c>
      <c r="G1460" s="4">
        <v>8</v>
      </c>
      <c r="H1460" s="8">
        <v>12.31</v>
      </c>
      <c r="I1460" s="4">
        <v>0</v>
      </c>
    </row>
    <row r="1461" spans="1:9" x14ac:dyDescent="0.2">
      <c r="A1461" s="2">
        <v>5</v>
      </c>
      <c r="B1461" s="1" t="s">
        <v>114</v>
      </c>
      <c r="C1461" s="4">
        <v>8</v>
      </c>
      <c r="D1461" s="8">
        <v>4.1900000000000004</v>
      </c>
      <c r="E1461" s="4">
        <v>3</v>
      </c>
      <c r="F1461" s="8">
        <v>2.42</v>
      </c>
      <c r="G1461" s="4">
        <v>5</v>
      </c>
      <c r="H1461" s="8">
        <v>7.69</v>
      </c>
      <c r="I1461" s="4">
        <v>0</v>
      </c>
    </row>
    <row r="1462" spans="1:9" x14ac:dyDescent="0.2">
      <c r="A1462" s="2">
        <v>7</v>
      </c>
      <c r="B1462" s="1" t="s">
        <v>90</v>
      </c>
      <c r="C1462" s="4">
        <v>6</v>
      </c>
      <c r="D1462" s="8">
        <v>3.14</v>
      </c>
      <c r="E1462" s="4">
        <v>1</v>
      </c>
      <c r="F1462" s="8">
        <v>0.81</v>
      </c>
      <c r="G1462" s="4">
        <v>5</v>
      </c>
      <c r="H1462" s="8">
        <v>7.69</v>
      </c>
      <c r="I1462" s="4">
        <v>0</v>
      </c>
    </row>
    <row r="1463" spans="1:9" x14ac:dyDescent="0.2">
      <c r="A1463" s="2">
        <v>8</v>
      </c>
      <c r="B1463" s="1" t="s">
        <v>96</v>
      </c>
      <c r="C1463" s="4">
        <v>5</v>
      </c>
      <c r="D1463" s="8">
        <v>2.62</v>
      </c>
      <c r="E1463" s="4">
        <v>4</v>
      </c>
      <c r="F1463" s="8">
        <v>3.23</v>
      </c>
      <c r="G1463" s="4">
        <v>1</v>
      </c>
      <c r="H1463" s="8">
        <v>1.54</v>
      </c>
      <c r="I1463" s="4">
        <v>0</v>
      </c>
    </row>
    <row r="1464" spans="1:9" x14ac:dyDescent="0.2">
      <c r="A1464" s="2">
        <v>8</v>
      </c>
      <c r="B1464" s="1" t="s">
        <v>102</v>
      </c>
      <c r="C1464" s="4">
        <v>5</v>
      </c>
      <c r="D1464" s="8">
        <v>2.62</v>
      </c>
      <c r="E1464" s="4">
        <v>1</v>
      </c>
      <c r="F1464" s="8">
        <v>0.81</v>
      </c>
      <c r="G1464" s="4">
        <v>3</v>
      </c>
      <c r="H1464" s="8">
        <v>4.62</v>
      </c>
      <c r="I1464" s="4">
        <v>1</v>
      </c>
    </row>
    <row r="1465" spans="1:9" x14ac:dyDescent="0.2">
      <c r="A1465" s="2">
        <v>8</v>
      </c>
      <c r="B1465" s="1" t="s">
        <v>115</v>
      </c>
      <c r="C1465" s="4">
        <v>5</v>
      </c>
      <c r="D1465" s="8">
        <v>2.62</v>
      </c>
      <c r="E1465" s="4">
        <v>4</v>
      </c>
      <c r="F1465" s="8">
        <v>3.23</v>
      </c>
      <c r="G1465" s="4">
        <v>1</v>
      </c>
      <c r="H1465" s="8">
        <v>1.54</v>
      </c>
      <c r="I1465" s="4">
        <v>0</v>
      </c>
    </row>
    <row r="1466" spans="1:9" x14ac:dyDescent="0.2">
      <c r="A1466" s="2">
        <v>11</v>
      </c>
      <c r="B1466" s="1" t="s">
        <v>89</v>
      </c>
      <c r="C1466" s="4">
        <v>4</v>
      </c>
      <c r="D1466" s="8">
        <v>2.09</v>
      </c>
      <c r="E1466" s="4">
        <v>1</v>
      </c>
      <c r="F1466" s="8">
        <v>0.81</v>
      </c>
      <c r="G1466" s="4">
        <v>3</v>
      </c>
      <c r="H1466" s="8">
        <v>4.62</v>
      </c>
      <c r="I1466" s="4">
        <v>0</v>
      </c>
    </row>
    <row r="1467" spans="1:9" x14ac:dyDescent="0.2">
      <c r="A1467" s="2">
        <v>11</v>
      </c>
      <c r="B1467" s="1" t="s">
        <v>95</v>
      </c>
      <c r="C1467" s="4">
        <v>4</v>
      </c>
      <c r="D1467" s="8">
        <v>2.09</v>
      </c>
      <c r="E1467" s="4">
        <v>4</v>
      </c>
      <c r="F1467" s="8">
        <v>3.23</v>
      </c>
      <c r="G1467" s="4">
        <v>0</v>
      </c>
      <c r="H1467" s="8">
        <v>0</v>
      </c>
      <c r="I1467" s="4">
        <v>0</v>
      </c>
    </row>
    <row r="1468" spans="1:9" x14ac:dyDescent="0.2">
      <c r="A1468" s="2">
        <v>11</v>
      </c>
      <c r="B1468" s="1" t="s">
        <v>130</v>
      </c>
      <c r="C1468" s="4">
        <v>4</v>
      </c>
      <c r="D1468" s="8">
        <v>2.09</v>
      </c>
      <c r="E1468" s="4">
        <v>3</v>
      </c>
      <c r="F1468" s="8">
        <v>2.42</v>
      </c>
      <c r="G1468" s="4">
        <v>1</v>
      </c>
      <c r="H1468" s="8">
        <v>1.54</v>
      </c>
      <c r="I1468" s="4">
        <v>0</v>
      </c>
    </row>
    <row r="1469" spans="1:9" x14ac:dyDescent="0.2">
      <c r="A1469" s="2">
        <v>14</v>
      </c>
      <c r="B1469" s="1" t="s">
        <v>152</v>
      </c>
      <c r="C1469" s="4">
        <v>3</v>
      </c>
      <c r="D1469" s="8">
        <v>1.57</v>
      </c>
      <c r="E1469" s="4">
        <v>1</v>
      </c>
      <c r="F1469" s="8">
        <v>0.81</v>
      </c>
      <c r="G1469" s="4">
        <v>2</v>
      </c>
      <c r="H1469" s="8">
        <v>3.08</v>
      </c>
      <c r="I1469" s="4">
        <v>0</v>
      </c>
    </row>
    <row r="1470" spans="1:9" x14ac:dyDescent="0.2">
      <c r="A1470" s="2">
        <v>14</v>
      </c>
      <c r="B1470" s="1" t="s">
        <v>129</v>
      </c>
      <c r="C1470" s="4">
        <v>3</v>
      </c>
      <c r="D1470" s="8">
        <v>1.57</v>
      </c>
      <c r="E1470" s="4">
        <v>0</v>
      </c>
      <c r="F1470" s="8">
        <v>0</v>
      </c>
      <c r="G1470" s="4">
        <v>3</v>
      </c>
      <c r="H1470" s="8">
        <v>4.62</v>
      </c>
      <c r="I1470" s="4">
        <v>0</v>
      </c>
    </row>
    <row r="1471" spans="1:9" x14ac:dyDescent="0.2">
      <c r="A1471" s="2">
        <v>14</v>
      </c>
      <c r="B1471" s="1" t="s">
        <v>143</v>
      </c>
      <c r="C1471" s="4">
        <v>3</v>
      </c>
      <c r="D1471" s="8">
        <v>1.57</v>
      </c>
      <c r="E1471" s="4">
        <v>0</v>
      </c>
      <c r="F1471" s="8">
        <v>0</v>
      </c>
      <c r="G1471" s="4">
        <v>3</v>
      </c>
      <c r="H1471" s="8">
        <v>4.62</v>
      </c>
      <c r="I1471" s="4">
        <v>0</v>
      </c>
    </row>
    <row r="1472" spans="1:9" x14ac:dyDescent="0.2">
      <c r="A1472" s="2">
        <v>14</v>
      </c>
      <c r="B1472" s="1" t="s">
        <v>104</v>
      </c>
      <c r="C1472" s="4">
        <v>3</v>
      </c>
      <c r="D1472" s="8">
        <v>1.57</v>
      </c>
      <c r="E1472" s="4">
        <v>3</v>
      </c>
      <c r="F1472" s="8">
        <v>2.42</v>
      </c>
      <c r="G1472" s="4">
        <v>0</v>
      </c>
      <c r="H1472" s="8">
        <v>0</v>
      </c>
      <c r="I1472" s="4">
        <v>0</v>
      </c>
    </row>
    <row r="1473" spans="1:9" x14ac:dyDescent="0.2">
      <c r="A1473" s="2">
        <v>18</v>
      </c>
      <c r="B1473" s="1" t="s">
        <v>138</v>
      </c>
      <c r="C1473" s="4">
        <v>2</v>
      </c>
      <c r="D1473" s="8">
        <v>1.05</v>
      </c>
      <c r="E1473" s="4">
        <v>1</v>
      </c>
      <c r="F1473" s="8">
        <v>0.81</v>
      </c>
      <c r="G1473" s="4">
        <v>1</v>
      </c>
      <c r="H1473" s="8">
        <v>1.54</v>
      </c>
      <c r="I1473" s="4">
        <v>0</v>
      </c>
    </row>
    <row r="1474" spans="1:9" x14ac:dyDescent="0.2">
      <c r="A1474" s="2">
        <v>18</v>
      </c>
      <c r="B1474" s="1" t="s">
        <v>125</v>
      </c>
      <c r="C1474" s="4">
        <v>2</v>
      </c>
      <c r="D1474" s="8">
        <v>1.05</v>
      </c>
      <c r="E1474" s="4">
        <v>1</v>
      </c>
      <c r="F1474" s="8">
        <v>0.81</v>
      </c>
      <c r="G1474" s="4">
        <v>1</v>
      </c>
      <c r="H1474" s="8">
        <v>1.54</v>
      </c>
      <c r="I1474" s="4">
        <v>0</v>
      </c>
    </row>
    <row r="1475" spans="1:9" x14ac:dyDescent="0.2">
      <c r="A1475" s="2">
        <v>18</v>
      </c>
      <c r="B1475" s="1" t="s">
        <v>106</v>
      </c>
      <c r="C1475" s="4">
        <v>2</v>
      </c>
      <c r="D1475" s="8">
        <v>1.05</v>
      </c>
      <c r="E1475" s="4">
        <v>2</v>
      </c>
      <c r="F1475" s="8">
        <v>1.61</v>
      </c>
      <c r="G1475" s="4">
        <v>0</v>
      </c>
      <c r="H1475" s="8">
        <v>0</v>
      </c>
      <c r="I1475" s="4">
        <v>0</v>
      </c>
    </row>
    <row r="1476" spans="1:9" x14ac:dyDescent="0.2">
      <c r="A1476" s="2">
        <v>18</v>
      </c>
      <c r="B1476" s="1" t="s">
        <v>131</v>
      </c>
      <c r="C1476" s="4">
        <v>2</v>
      </c>
      <c r="D1476" s="8">
        <v>1.05</v>
      </c>
      <c r="E1476" s="4">
        <v>0</v>
      </c>
      <c r="F1476" s="8">
        <v>0</v>
      </c>
      <c r="G1476" s="4">
        <v>2</v>
      </c>
      <c r="H1476" s="8">
        <v>3.08</v>
      </c>
      <c r="I1476" s="4">
        <v>0</v>
      </c>
    </row>
    <row r="1477" spans="1:9" x14ac:dyDescent="0.2">
      <c r="A1477" s="2">
        <v>18</v>
      </c>
      <c r="B1477" s="1" t="s">
        <v>107</v>
      </c>
      <c r="C1477" s="4">
        <v>2</v>
      </c>
      <c r="D1477" s="8">
        <v>1.05</v>
      </c>
      <c r="E1477" s="4">
        <v>0</v>
      </c>
      <c r="F1477" s="8">
        <v>0</v>
      </c>
      <c r="G1477" s="4">
        <v>2</v>
      </c>
      <c r="H1477" s="8">
        <v>3.08</v>
      </c>
      <c r="I1477" s="4">
        <v>0</v>
      </c>
    </row>
    <row r="1478" spans="1:9" x14ac:dyDescent="0.2">
      <c r="A1478" s="1"/>
      <c r="C1478" s="4"/>
      <c r="D1478" s="8"/>
      <c r="E1478" s="4"/>
      <c r="F1478" s="8"/>
      <c r="G1478" s="4"/>
      <c r="H1478" s="8"/>
      <c r="I147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7BAA-243B-47D6-8923-0EA8D28B1358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</v>
      </c>
      <c r="D6" s="8">
        <v>1.49</v>
      </c>
      <c r="E6" s="12">
        <v>0</v>
      </c>
      <c r="F6" s="8">
        <v>0</v>
      </c>
      <c r="G6" s="12">
        <v>2</v>
      </c>
      <c r="H6" s="8">
        <v>1.89</v>
      </c>
      <c r="I6" s="12">
        <v>0</v>
      </c>
    </row>
    <row r="7" spans="2:9" ht="15" customHeight="1" x14ac:dyDescent="0.2">
      <c r="B7" t="s">
        <v>67</v>
      </c>
      <c r="C7" s="12">
        <v>3</v>
      </c>
      <c r="D7" s="8">
        <v>2.2400000000000002</v>
      </c>
      <c r="E7" s="12">
        <v>0</v>
      </c>
      <c r="F7" s="8">
        <v>0</v>
      </c>
      <c r="G7" s="12">
        <v>3</v>
      </c>
      <c r="H7" s="8">
        <v>2.83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3</v>
      </c>
      <c r="D9" s="8">
        <v>2.2400000000000002</v>
      </c>
      <c r="E9" s="12">
        <v>0</v>
      </c>
      <c r="F9" s="8">
        <v>0</v>
      </c>
      <c r="G9" s="12">
        <v>3</v>
      </c>
      <c r="H9" s="8">
        <v>2.83</v>
      </c>
      <c r="I9" s="12">
        <v>0</v>
      </c>
    </row>
    <row r="10" spans="2:9" ht="15" customHeight="1" x14ac:dyDescent="0.2">
      <c r="B10" t="s">
        <v>70</v>
      </c>
      <c r="C10" s="12">
        <v>1</v>
      </c>
      <c r="D10" s="8">
        <v>0.75</v>
      </c>
      <c r="E10" s="12">
        <v>0</v>
      </c>
      <c r="F10" s="8">
        <v>0</v>
      </c>
      <c r="G10" s="12">
        <v>1</v>
      </c>
      <c r="H10" s="8">
        <v>0.94</v>
      </c>
      <c r="I10" s="12">
        <v>0</v>
      </c>
    </row>
    <row r="11" spans="2:9" ht="15" customHeight="1" x14ac:dyDescent="0.2">
      <c r="B11" t="s">
        <v>71</v>
      </c>
      <c r="C11" s="12">
        <v>64</v>
      </c>
      <c r="D11" s="8">
        <v>47.76</v>
      </c>
      <c r="E11" s="12">
        <v>14</v>
      </c>
      <c r="F11" s="8">
        <v>50</v>
      </c>
      <c r="G11" s="12">
        <v>50</v>
      </c>
      <c r="H11" s="8">
        <v>47.17</v>
      </c>
      <c r="I11" s="12">
        <v>0</v>
      </c>
    </row>
    <row r="12" spans="2:9" ht="15" customHeight="1" x14ac:dyDescent="0.2">
      <c r="B12" t="s">
        <v>72</v>
      </c>
      <c r="C12" s="12">
        <v>2</v>
      </c>
      <c r="D12" s="8">
        <v>1.49</v>
      </c>
      <c r="E12" s="12">
        <v>0</v>
      </c>
      <c r="F12" s="8">
        <v>0</v>
      </c>
      <c r="G12" s="12">
        <v>2</v>
      </c>
      <c r="H12" s="8">
        <v>1.89</v>
      </c>
      <c r="I12" s="12">
        <v>0</v>
      </c>
    </row>
    <row r="13" spans="2:9" ht="15" customHeight="1" x14ac:dyDescent="0.2">
      <c r="B13" t="s">
        <v>73</v>
      </c>
      <c r="C13" s="12">
        <v>5</v>
      </c>
      <c r="D13" s="8">
        <v>3.73</v>
      </c>
      <c r="E13" s="12">
        <v>0</v>
      </c>
      <c r="F13" s="8">
        <v>0</v>
      </c>
      <c r="G13" s="12">
        <v>5</v>
      </c>
      <c r="H13" s="8">
        <v>4.72</v>
      </c>
      <c r="I13" s="12">
        <v>0</v>
      </c>
    </row>
    <row r="14" spans="2:9" ht="15" customHeight="1" x14ac:dyDescent="0.2">
      <c r="B14" t="s">
        <v>74</v>
      </c>
      <c r="C14" s="12">
        <v>3</v>
      </c>
      <c r="D14" s="8">
        <v>2.2400000000000002</v>
      </c>
      <c r="E14" s="12">
        <v>0</v>
      </c>
      <c r="F14" s="8">
        <v>0</v>
      </c>
      <c r="G14" s="12">
        <v>3</v>
      </c>
      <c r="H14" s="8">
        <v>2.83</v>
      </c>
      <c r="I14" s="12">
        <v>0</v>
      </c>
    </row>
    <row r="15" spans="2:9" ht="15" customHeight="1" x14ac:dyDescent="0.2">
      <c r="B15" t="s">
        <v>75</v>
      </c>
      <c r="C15" s="12">
        <v>31</v>
      </c>
      <c r="D15" s="8">
        <v>23.13</v>
      </c>
      <c r="E15" s="12">
        <v>12</v>
      </c>
      <c r="F15" s="8">
        <v>42.86</v>
      </c>
      <c r="G15" s="12">
        <v>19</v>
      </c>
      <c r="H15" s="8">
        <v>17.920000000000002</v>
      </c>
      <c r="I15" s="12">
        <v>0</v>
      </c>
    </row>
    <row r="16" spans="2:9" ht="15" customHeight="1" x14ac:dyDescent="0.2">
      <c r="B16" t="s">
        <v>76</v>
      </c>
      <c r="C16" s="12">
        <v>13</v>
      </c>
      <c r="D16" s="8">
        <v>9.6999999999999993</v>
      </c>
      <c r="E16" s="12">
        <v>2</v>
      </c>
      <c r="F16" s="8">
        <v>7.14</v>
      </c>
      <c r="G16" s="12">
        <v>11</v>
      </c>
      <c r="H16" s="8">
        <v>10.38</v>
      </c>
      <c r="I16" s="12">
        <v>0</v>
      </c>
    </row>
    <row r="17" spans="2:9" ht="15" customHeight="1" x14ac:dyDescent="0.2">
      <c r="B17" t="s">
        <v>77</v>
      </c>
      <c r="C17" s="12">
        <v>2</v>
      </c>
      <c r="D17" s="8">
        <v>1.49</v>
      </c>
      <c r="E17" s="12">
        <v>0</v>
      </c>
      <c r="F17" s="8">
        <v>0</v>
      </c>
      <c r="G17" s="12">
        <v>2</v>
      </c>
      <c r="H17" s="8">
        <v>1.89</v>
      </c>
      <c r="I17" s="12">
        <v>0</v>
      </c>
    </row>
    <row r="18" spans="2:9" ht="15" customHeight="1" x14ac:dyDescent="0.2">
      <c r="B18" t="s">
        <v>78</v>
      </c>
      <c r="C18" s="12">
        <v>1</v>
      </c>
      <c r="D18" s="8">
        <v>0.75</v>
      </c>
      <c r="E18" s="12">
        <v>0</v>
      </c>
      <c r="F18" s="8">
        <v>0</v>
      </c>
      <c r="G18" s="12">
        <v>1</v>
      </c>
      <c r="H18" s="8">
        <v>0.94</v>
      </c>
      <c r="I18" s="12">
        <v>0</v>
      </c>
    </row>
    <row r="19" spans="2:9" ht="15" customHeight="1" x14ac:dyDescent="0.2">
      <c r="B19" t="s">
        <v>79</v>
      </c>
      <c r="C19" s="12">
        <v>4</v>
      </c>
      <c r="D19" s="8">
        <v>2.99</v>
      </c>
      <c r="E19" s="12">
        <v>0</v>
      </c>
      <c r="F19" s="8">
        <v>0</v>
      </c>
      <c r="G19" s="12">
        <v>4</v>
      </c>
      <c r="H19" s="8">
        <v>3.77</v>
      </c>
      <c r="I19" s="12">
        <v>0</v>
      </c>
    </row>
    <row r="20" spans="2:9" ht="15" customHeight="1" x14ac:dyDescent="0.2">
      <c r="B20" s="9" t="s">
        <v>280</v>
      </c>
      <c r="C20" s="12">
        <f>SUM(LTBL_13199[総数／事業所数])</f>
        <v>134</v>
      </c>
      <c r="E20" s="12">
        <f>SUBTOTAL(109,LTBL_13199[個人／事業所数])</f>
        <v>28</v>
      </c>
      <c r="G20" s="12">
        <f>SUBTOTAL(109,LTBL_13199[法人／事業所数])</f>
        <v>106</v>
      </c>
      <c r="I20" s="12">
        <f>SUBTOTAL(109,LTBL_13199[法人以外の団体／事業所数])</f>
        <v>0</v>
      </c>
    </row>
    <row r="21" spans="2:9" ht="15" customHeight="1" x14ac:dyDescent="0.2">
      <c r="E21" s="11">
        <f>LTBL_13199[[#Totals],[個人／事業所数]]/LTBL_13199[[#Totals],[総数／事業所数]]</f>
        <v>0.20895522388059701</v>
      </c>
      <c r="G21" s="11">
        <f>LTBL_13199[[#Totals],[法人／事業所数]]/LTBL_13199[[#Totals],[総数／事業所数]]</f>
        <v>0.79104477611940294</v>
      </c>
      <c r="I21" s="11">
        <f>LTBL_13199[[#Totals],[法人以外の団体／事業所数]]/LTBL_13199[[#Totals],[総数／事業所数]]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95</v>
      </c>
      <c r="C24" s="12">
        <v>32</v>
      </c>
      <c r="D24" s="8">
        <v>23.88</v>
      </c>
      <c r="E24" s="12">
        <v>4</v>
      </c>
      <c r="F24" s="8">
        <v>14.29</v>
      </c>
      <c r="G24" s="12">
        <v>28</v>
      </c>
      <c r="H24" s="8">
        <v>26.42</v>
      </c>
      <c r="I24" s="12">
        <v>0</v>
      </c>
    </row>
    <row r="25" spans="2:9" ht="15" customHeight="1" x14ac:dyDescent="0.2">
      <c r="B25" t="s">
        <v>103</v>
      </c>
      <c r="C25" s="12">
        <v>30</v>
      </c>
      <c r="D25" s="8">
        <v>22.39</v>
      </c>
      <c r="E25" s="12">
        <v>12</v>
      </c>
      <c r="F25" s="8">
        <v>42.86</v>
      </c>
      <c r="G25" s="12">
        <v>18</v>
      </c>
      <c r="H25" s="8">
        <v>16.98</v>
      </c>
      <c r="I25" s="12">
        <v>0</v>
      </c>
    </row>
    <row r="26" spans="2:9" ht="15" customHeight="1" x14ac:dyDescent="0.2">
      <c r="B26" t="s">
        <v>98</v>
      </c>
      <c r="C26" s="12">
        <v>16</v>
      </c>
      <c r="D26" s="8">
        <v>11.94</v>
      </c>
      <c r="E26" s="12">
        <v>8</v>
      </c>
      <c r="F26" s="8">
        <v>28.57</v>
      </c>
      <c r="G26" s="12">
        <v>8</v>
      </c>
      <c r="H26" s="8">
        <v>7.55</v>
      </c>
      <c r="I26" s="12">
        <v>0</v>
      </c>
    </row>
    <row r="27" spans="2:9" ht="15" customHeight="1" x14ac:dyDescent="0.2">
      <c r="B27" t="s">
        <v>104</v>
      </c>
      <c r="C27" s="12">
        <v>8</v>
      </c>
      <c r="D27" s="8">
        <v>5.97</v>
      </c>
      <c r="E27" s="12">
        <v>2</v>
      </c>
      <c r="F27" s="8">
        <v>7.14</v>
      </c>
      <c r="G27" s="12">
        <v>6</v>
      </c>
      <c r="H27" s="8">
        <v>5.66</v>
      </c>
      <c r="I27" s="12">
        <v>0</v>
      </c>
    </row>
    <row r="28" spans="2:9" ht="15" customHeight="1" x14ac:dyDescent="0.2">
      <c r="B28" t="s">
        <v>94</v>
      </c>
      <c r="C28" s="12">
        <v>7</v>
      </c>
      <c r="D28" s="8">
        <v>5.22</v>
      </c>
      <c r="E28" s="12">
        <v>2</v>
      </c>
      <c r="F28" s="8">
        <v>7.14</v>
      </c>
      <c r="G28" s="12">
        <v>5</v>
      </c>
      <c r="H28" s="8">
        <v>4.72</v>
      </c>
      <c r="I28" s="12">
        <v>0</v>
      </c>
    </row>
    <row r="29" spans="2:9" ht="15" customHeight="1" x14ac:dyDescent="0.2">
      <c r="B29" t="s">
        <v>112</v>
      </c>
      <c r="C29" s="12">
        <v>4</v>
      </c>
      <c r="D29" s="8">
        <v>2.99</v>
      </c>
      <c r="E29" s="12">
        <v>0</v>
      </c>
      <c r="F29" s="8">
        <v>0</v>
      </c>
      <c r="G29" s="12">
        <v>4</v>
      </c>
      <c r="H29" s="8">
        <v>3.77</v>
      </c>
      <c r="I29" s="12">
        <v>0</v>
      </c>
    </row>
    <row r="30" spans="2:9" ht="15" customHeight="1" x14ac:dyDescent="0.2">
      <c r="B30" t="s">
        <v>115</v>
      </c>
      <c r="C30" s="12">
        <v>4</v>
      </c>
      <c r="D30" s="8">
        <v>2.99</v>
      </c>
      <c r="E30" s="12">
        <v>0</v>
      </c>
      <c r="F30" s="8">
        <v>0</v>
      </c>
      <c r="G30" s="12">
        <v>4</v>
      </c>
      <c r="H30" s="8">
        <v>3.77</v>
      </c>
      <c r="I30" s="12">
        <v>0</v>
      </c>
    </row>
    <row r="31" spans="2:9" ht="15" customHeight="1" x14ac:dyDescent="0.2">
      <c r="B31" t="s">
        <v>100</v>
      </c>
      <c r="C31" s="12">
        <v>3</v>
      </c>
      <c r="D31" s="8">
        <v>2.2400000000000002</v>
      </c>
      <c r="E31" s="12">
        <v>0</v>
      </c>
      <c r="F31" s="8">
        <v>0</v>
      </c>
      <c r="G31" s="12">
        <v>3</v>
      </c>
      <c r="H31" s="8">
        <v>2.83</v>
      </c>
      <c r="I31" s="12">
        <v>0</v>
      </c>
    </row>
    <row r="32" spans="2:9" ht="15" customHeight="1" x14ac:dyDescent="0.2">
      <c r="B32" t="s">
        <v>92</v>
      </c>
      <c r="C32" s="12">
        <v>2</v>
      </c>
      <c r="D32" s="8">
        <v>1.49</v>
      </c>
      <c r="E32" s="12">
        <v>0</v>
      </c>
      <c r="F32" s="8">
        <v>0</v>
      </c>
      <c r="G32" s="12">
        <v>2</v>
      </c>
      <c r="H32" s="8">
        <v>1.89</v>
      </c>
      <c r="I32" s="12">
        <v>0</v>
      </c>
    </row>
    <row r="33" spans="2:9" ht="15" customHeight="1" x14ac:dyDescent="0.2">
      <c r="B33" t="s">
        <v>93</v>
      </c>
      <c r="C33" s="12">
        <v>2</v>
      </c>
      <c r="D33" s="8">
        <v>1.49</v>
      </c>
      <c r="E33" s="12">
        <v>0</v>
      </c>
      <c r="F33" s="8">
        <v>0</v>
      </c>
      <c r="G33" s="12">
        <v>2</v>
      </c>
      <c r="H33" s="8">
        <v>1.89</v>
      </c>
      <c r="I33" s="12">
        <v>0</v>
      </c>
    </row>
    <row r="34" spans="2:9" ht="15" customHeight="1" x14ac:dyDescent="0.2">
      <c r="B34" t="s">
        <v>96</v>
      </c>
      <c r="C34" s="12">
        <v>2</v>
      </c>
      <c r="D34" s="8">
        <v>1.49</v>
      </c>
      <c r="E34" s="12">
        <v>0</v>
      </c>
      <c r="F34" s="8">
        <v>0</v>
      </c>
      <c r="G34" s="12">
        <v>2</v>
      </c>
      <c r="H34" s="8">
        <v>1.89</v>
      </c>
      <c r="I34" s="12">
        <v>0</v>
      </c>
    </row>
    <row r="35" spans="2:9" ht="15" customHeight="1" x14ac:dyDescent="0.2">
      <c r="B35" t="s">
        <v>111</v>
      </c>
      <c r="C35" s="12">
        <v>2</v>
      </c>
      <c r="D35" s="8">
        <v>1.49</v>
      </c>
      <c r="E35" s="12">
        <v>0</v>
      </c>
      <c r="F35" s="8">
        <v>0</v>
      </c>
      <c r="G35" s="12">
        <v>2</v>
      </c>
      <c r="H35" s="8">
        <v>1.89</v>
      </c>
      <c r="I35" s="12">
        <v>0</v>
      </c>
    </row>
    <row r="36" spans="2:9" ht="15" customHeight="1" x14ac:dyDescent="0.2">
      <c r="B36" t="s">
        <v>99</v>
      </c>
      <c r="C36" s="12">
        <v>2</v>
      </c>
      <c r="D36" s="8">
        <v>1.49</v>
      </c>
      <c r="E36" s="12">
        <v>0</v>
      </c>
      <c r="F36" s="8">
        <v>0</v>
      </c>
      <c r="G36" s="12">
        <v>2</v>
      </c>
      <c r="H36" s="8">
        <v>1.89</v>
      </c>
      <c r="I36" s="12">
        <v>0</v>
      </c>
    </row>
    <row r="37" spans="2:9" ht="15" customHeight="1" x14ac:dyDescent="0.2">
      <c r="B37" t="s">
        <v>101</v>
      </c>
      <c r="C37" s="12">
        <v>2</v>
      </c>
      <c r="D37" s="8">
        <v>1.49</v>
      </c>
      <c r="E37" s="12">
        <v>0</v>
      </c>
      <c r="F37" s="8">
        <v>0</v>
      </c>
      <c r="G37" s="12">
        <v>2</v>
      </c>
      <c r="H37" s="8">
        <v>1.89</v>
      </c>
      <c r="I37" s="12">
        <v>0</v>
      </c>
    </row>
    <row r="38" spans="2:9" ht="15" customHeight="1" x14ac:dyDescent="0.2">
      <c r="B38" t="s">
        <v>105</v>
      </c>
      <c r="C38" s="12">
        <v>2</v>
      </c>
      <c r="D38" s="8">
        <v>1.49</v>
      </c>
      <c r="E38" s="12">
        <v>0</v>
      </c>
      <c r="F38" s="8">
        <v>0</v>
      </c>
      <c r="G38" s="12">
        <v>2</v>
      </c>
      <c r="H38" s="8">
        <v>1.89</v>
      </c>
      <c r="I38" s="12">
        <v>0</v>
      </c>
    </row>
    <row r="39" spans="2:9" ht="15" customHeight="1" x14ac:dyDescent="0.2">
      <c r="B39" t="s">
        <v>131</v>
      </c>
      <c r="C39" s="12">
        <v>2</v>
      </c>
      <c r="D39" s="8">
        <v>1.49</v>
      </c>
      <c r="E39" s="12">
        <v>0</v>
      </c>
      <c r="F39" s="8">
        <v>0</v>
      </c>
      <c r="G39" s="12">
        <v>2</v>
      </c>
      <c r="H39" s="8">
        <v>1.89</v>
      </c>
      <c r="I39" s="12">
        <v>0</v>
      </c>
    </row>
    <row r="40" spans="2:9" ht="15" customHeight="1" x14ac:dyDescent="0.2">
      <c r="B40" t="s">
        <v>107</v>
      </c>
      <c r="C40" s="12">
        <v>2</v>
      </c>
      <c r="D40" s="8">
        <v>1.49</v>
      </c>
      <c r="E40" s="12">
        <v>0</v>
      </c>
      <c r="F40" s="8">
        <v>0</v>
      </c>
      <c r="G40" s="12">
        <v>2</v>
      </c>
      <c r="H40" s="8">
        <v>1.89</v>
      </c>
      <c r="I40" s="12">
        <v>0</v>
      </c>
    </row>
    <row r="41" spans="2:9" ht="15" customHeight="1" x14ac:dyDescent="0.2">
      <c r="B41" t="s">
        <v>88</v>
      </c>
      <c r="C41" s="12">
        <v>1</v>
      </c>
      <c r="D41" s="8">
        <v>0.75</v>
      </c>
      <c r="E41" s="12">
        <v>0</v>
      </c>
      <c r="F41" s="8">
        <v>0</v>
      </c>
      <c r="G41" s="12">
        <v>1</v>
      </c>
      <c r="H41" s="8">
        <v>0.94</v>
      </c>
      <c r="I41" s="12">
        <v>0</v>
      </c>
    </row>
    <row r="42" spans="2:9" ht="15" customHeight="1" x14ac:dyDescent="0.2">
      <c r="B42" t="s">
        <v>90</v>
      </c>
      <c r="C42" s="12">
        <v>1</v>
      </c>
      <c r="D42" s="8">
        <v>0.75</v>
      </c>
      <c r="E42" s="12">
        <v>0</v>
      </c>
      <c r="F42" s="8">
        <v>0</v>
      </c>
      <c r="G42" s="12">
        <v>1</v>
      </c>
      <c r="H42" s="8">
        <v>0.94</v>
      </c>
      <c r="I42" s="12">
        <v>0</v>
      </c>
    </row>
    <row r="43" spans="2:9" ht="15" customHeight="1" x14ac:dyDescent="0.2">
      <c r="B43" t="s">
        <v>125</v>
      </c>
      <c r="C43" s="12">
        <v>1</v>
      </c>
      <c r="D43" s="8">
        <v>0.75</v>
      </c>
      <c r="E43" s="12">
        <v>0</v>
      </c>
      <c r="F43" s="8">
        <v>0</v>
      </c>
      <c r="G43" s="12">
        <v>1</v>
      </c>
      <c r="H43" s="8">
        <v>0.94</v>
      </c>
      <c r="I43" s="12">
        <v>0</v>
      </c>
    </row>
    <row r="44" spans="2:9" ht="15" customHeight="1" x14ac:dyDescent="0.2">
      <c r="B44" t="s">
        <v>126</v>
      </c>
      <c r="C44" s="12">
        <v>1</v>
      </c>
      <c r="D44" s="8">
        <v>0.75</v>
      </c>
      <c r="E44" s="12">
        <v>0</v>
      </c>
      <c r="F44" s="8">
        <v>0</v>
      </c>
      <c r="G44" s="12">
        <v>1</v>
      </c>
      <c r="H44" s="8">
        <v>0.94</v>
      </c>
      <c r="I44" s="12">
        <v>0</v>
      </c>
    </row>
    <row r="45" spans="2:9" ht="15" customHeight="1" x14ac:dyDescent="0.2">
      <c r="B45" t="s">
        <v>127</v>
      </c>
      <c r="C45" s="12">
        <v>1</v>
      </c>
      <c r="D45" s="8">
        <v>0.75</v>
      </c>
      <c r="E45" s="12">
        <v>0</v>
      </c>
      <c r="F45" s="8">
        <v>0</v>
      </c>
      <c r="G45" s="12">
        <v>1</v>
      </c>
      <c r="H45" s="8">
        <v>0.94</v>
      </c>
      <c r="I45" s="12">
        <v>0</v>
      </c>
    </row>
    <row r="46" spans="2:9" ht="15" customHeight="1" x14ac:dyDescent="0.2">
      <c r="B46" t="s">
        <v>122</v>
      </c>
      <c r="C46" s="12">
        <v>1</v>
      </c>
      <c r="D46" s="8">
        <v>0.75</v>
      </c>
      <c r="E46" s="12">
        <v>0</v>
      </c>
      <c r="F46" s="8">
        <v>0</v>
      </c>
      <c r="G46" s="12">
        <v>1</v>
      </c>
      <c r="H46" s="8">
        <v>0.94</v>
      </c>
      <c r="I46" s="12">
        <v>0</v>
      </c>
    </row>
    <row r="47" spans="2:9" ht="15" customHeight="1" x14ac:dyDescent="0.2">
      <c r="B47" t="s">
        <v>128</v>
      </c>
      <c r="C47" s="12">
        <v>1</v>
      </c>
      <c r="D47" s="8">
        <v>0.75</v>
      </c>
      <c r="E47" s="12">
        <v>0</v>
      </c>
      <c r="F47" s="8">
        <v>0</v>
      </c>
      <c r="G47" s="12">
        <v>1</v>
      </c>
      <c r="H47" s="8">
        <v>0.94</v>
      </c>
      <c r="I47" s="12">
        <v>0</v>
      </c>
    </row>
    <row r="48" spans="2:9" ht="15" customHeight="1" x14ac:dyDescent="0.2">
      <c r="B48" t="s">
        <v>129</v>
      </c>
      <c r="C48" s="12">
        <v>1</v>
      </c>
      <c r="D48" s="8">
        <v>0.75</v>
      </c>
      <c r="E48" s="12">
        <v>0</v>
      </c>
      <c r="F48" s="8">
        <v>0</v>
      </c>
      <c r="G48" s="12">
        <v>1</v>
      </c>
      <c r="H48" s="8">
        <v>0.94</v>
      </c>
      <c r="I48" s="12">
        <v>0</v>
      </c>
    </row>
    <row r="49" spans="2:9" ht="15" customHeight="1" x14ac:dyDescent="0.2">
      <c r="B49" t="s">
        <v>102</v>
      </c>
      <c r="C49" s="12">
        <v>1</v>
      </c>
      <c r="D49" s="8">
        <v>0.75</v>
      </c>
      <c r="E49" s="12">
        <v>0</v>
      </c>
      <c r="F49" s="8">
        <v>0</v>
      </c>
      <c r="G49" s="12">
        <v>1</v>
      </c>
      <c r="H49" s="8">
        <v>0.94</v>
      </c>
      <c r="I49" s="12">
        <v>0</v>
      </c>
    </row>
    <row r="50" spans="2:9" ht="15" customHeight="1" x14ac:dyDescent="0.2">
      <c r="B50" t="s">
        <v>130</v>
      </c>
      <c r="C50" s="12">
        <v>1</v>
      </c>
      <c r="D50" s="8">
        <v>0.75</v>
      </c>
      <c r="E50" s="12">
        <v>0</v>
      </c>
      <c r="F50" s="8">
        <v>0</v>
      </c>
      <c r="G50" s="12">
        <v>1</v>
      </c>
      <c r="H50" s="8">
        <v>0.94</v>
      </c>
      <c r="I50" s="12">
        <v>0</v>
      </c>
    </row>
    <row r="51" spans="2:9" ht="15" customHeight="1" x14ac:dyDescent="0.2">
      <c r="B51" t="s">
        <v>114</v>
      </c>
      <c r="C51" s="12">
        <v>1</v>
      </c>
      <c r="D51" s="8">
        <v>0.75</v>
      </c>
      <c r="E51" s="12">
        <v>0</v>
      </c>
      <c r="F51" s="8">
        <v>0</v>
      </c>
      <c r="G51" s="12">
        <v>1</v>
      </c>
      <c r="H51" s="8">
        <v>0.94</v>
      </c>
      <c r="I51" s="12">
        <v>0</v>
      </c>
    </row>
    <row r="52" spans="2:9" ht="15" customHeight="1" x14ac:dyDescent="0.2">
      <c r="B52" t="s">
        <v>106</v>
      </c>
      <c r="C52" s="12">
        <v>1</v>
      </c>
      <c r="D52" s="8">
        <v>0.75</v>
      </c>
      <c r="E52" s="12">
        <v>0</v>
      </c>
      <c r="F52" s="8">
        <v>0</v>
      </c>
      <c r="G52" s="12">
        <v>1</v>
      </c>
      <c r="H52" s="8">
        <v>0.94</v>
      </c>
      <c r="I52" s="12">
        <v>0</v>
      </c>
    </row>
    <row r="55" spans="2:9" ht="33" customHeight="1" x14ac:dyDescent="0.2">
      <c r="B55" t="s">
        <v>282</v>
      </c>
      <c r="C55" s="10" t="s">
        <v>81</v>
      </c>
      <c r="D55" s="10" t="s">
        <v>82</v>
      </c>
      <c r="E55" s="10" t="s">
        <v>83</v>
      </c>
      <c r="F55" s="10" t="s">
        <v>84</v>
      </c>
      <c r="G55" s="10" t="s">
        <v>85</v>
      </c>
      <c r="H55" s="10" t="s">
        <v>86</v>
      </c>
      <c r="I55" s="10" t="s">
        <v>87</v>
      </c>
    </row>
    <row r="56" spans="2:9" ht="15" customHeight="1" x14ac:dyDescent="0.2">
      <c r="B56" t="s">
        <v>199</v>
      </c>
      <c r="C56" s="12">
        <v>16</v>
      </c>
      <c r="D56" s="8">
        <v>11.94</v>
      </c>
      <c r="E56" s="12">
        <v>1</v>
      </c>
      <c r="F56" s="8">
        <v>3.57</v>
      </c>
      <c r="G56" s="12">
        <v>15</v>
      </c>
      <c r="H56" s="8">
        <v>14.15</v>
      </c>
      <c r="I56" s="12">
        <v>0</v>
      </c>
    </row>
    <row r="57" spans="2:9" ht="15" customHeight="1" x14ac:dyDescent="0.2">
      <c r="B57" t="s">
        <v>168</v>
      </c>
      <c r="C57" s="12">
        <v>15</v>
      </c>
      <c r="D57" s="8">
        <v>11.19</v>
      </c>
      <c r="E57" s="12">
        <v>8</v>
      </c>
      <c r="F57" s="8">
        <v>28.57</v>
      </c>
      <c r="G57" s="12">
        <v>7</v>
      </c>
      <c r="H57" s="8">
        <v>6.6</v>
      </c>
      <c r="I57" s="12">
        <v>0</v>
      </c>
    </row>
    <row r="58" spans="2:9" ht="15" customHeight="1" x14ac:dyDescent="0.2">
      <c r="B58" t="s">
        <v>159</v>
      </c>
      <c r="C58" s="12">
        <v>11</v>
      </c>
      <c r="D58" s="8">
        <v>8.2100000000000009</v>
      </c>
      <c r="E58" s="12">
        <v>7</v>
      </c>
      <c r="F58" s="8">
        <v>25</v>
      </c>
      <c r="G58" s="12">
        <v>4</v>
      </c>
      <c r="H58" s="8">
        <v>3.77</v>
      </c>
      <c r="I58" s="12">
        <v>0</v>
      </c>
    </row>
    <row r="59" spans="2:9" ht="15" customHeight="1" x14ac:dyDescent="0.2">
      <c r="B59" t="s">
        <v>190</v>
      </c>
      <c r="C59" s="12">
        <v>10</v>
      </c>
      <c r="D59" s="8">
        <v>7.46</v>
      </c>
      <c r="E59" s="12">
        <v>2</v>
      </c>
      <c r="F59" s="8">
        <v>7.14</v>
      </c>
      <c r="G59" s="12">
        <v>8</v>
      </c>
      <c r="H59" s="8">
        <v>7.55</v>
      </c>
      <c r="I59" s="12">
        <v>0</v>
      </c>
    </row>
    <row r="60" spans="2:9" ht="15" customHeight="1" x14ac:dyDescent="0.2">
      <c r="B60" t="s">
        <v>216</v>
      </c>
      <c r="C60" s="12">
        <v>5</v>
      </c>
      <c r="D60" s="8">
        <v>3.73</v>
      </c>
      <c r="E60" s="12">
        <v>2</v>
      </c>
      <c r="F60" s="8">
        <v>7.14</v>
      </c>
      <c r="G60" s="12">
        <v>3</v>
      </c>
      <c r="H60" s="8">
        <v>2.83</v>
      </c>
      <c r="I60" s="12">
        <v>0</v>
      </c>
    </row>
    <row r="61" spans="2:9" ht="15" customHeight="1" x14ac:dyDescent="0.2">
      <c r="B61" t="s">
        <v>177</v>
      </c>
      <c r="C61" s="12">
        <v>3</v>
      </c>
      <c r="D61" s="8">
        <v>2.2400000000000002</v>
      </c>
      <c r="E61" s="12">
        <v>1</v>
      </c>
      <c r="F61" s="8">
        <v>3.57</v>
      </c>
      <c r="G61" s="12">
        <v>2</v>
      </c>
      <c r="H61" s="8">
        <v>1.89</v>
      </c>
      <c r="I61" s="12">
        <v>0</v>
      </c>
    </row>
    <row r="62" spans="2:9" ht="15" customHeight="1" x14ac:dyDescent="0.2">
      <c r="B62" t="s">
        <v>212</v>
      </c>
      <c r="C62" s="12">
        <v>3</v>
      </c>
      <c r="D62" s="8">
        <v>2.2400000000000002</v>
      </c>
      <c r="E62" s="12">
        <v>0</v>
      </c>
      <c r="F62" s="8">
        <v>0</v>
      </c>
      <c r="G62" s="12">
        <v>3</v>
      </c>
      <c r="H62" s="8">
        <v>2.83</v>
      </c>
      <c r="I62" s="12">
        <v>0</v>
      </c>
    </row>
    <row r="63" spans="2:9" ht="15" customHeight="1" x14ac:dyDescent="0.2">
      <c r="B63" t="s">
        <v>214</v>
      </c>
      <c r="C63" s="12">
        <v>3</v>
      </c>
      <c r="D63" s="8">
        <v>2.2400000000000002</v>
      </c>
      <c r="E63" s="12">
        <v>1</v>
      </c>
      <c r="F63" s="8">
        <v>3.57</v>
      </c>
      <c r="G63" s="12">
        <v>2</v>
      </c>
      <c r="H63" s="8">
        <v>1.89</v>
      </c>
      <c r="I63" s="12">
        <v>0</v>
      </c>
    </row>
    <row r="64" spans="2:9" ht="15" customHeight="1" x14ac:dyDescent="0.2">
      <c r="B64" t="s">
        <v>169</v>
      </c>
      <c r="C64" s="12">
        <v>3</v>
      </c>
      <c r="D64" s="8">
        <v>2.2400000000000002</v>
      </c>
      <c r="E64" s="12">
        <v>1</v>
      </c>
      <c r="F64" s="8">
        <v>3.57</v>
      </c>
      <c r="G64" s="12">
        <v>2</v>
      </c>
      <c r="H64" s="8">
        <v>1.89</v>
      </c>
      <c r="I64" s="12">
        <v>0</v>
      </c>
    </row>
    <row r="65" spans="2:9" ht="15" customHeight="1" x14ac:dyDescent="0.2">
      <c r="B65" t="s">
        <v>191</v>
      </c>
      <c r="C65" s="12">
        <v>3</v>
      </c>
      <c r="D65" s="8">
        <v>2.2400000000000002</v>
      </c>
      <c r="E65" s="12">
        <v>0</v>
      </c>
      <c r="F65" s="8">
        <v>0</v>
      </c>
      <c r="G65" s="12">
        <v>3</v>
      </c>
      <c r="H65" s="8">
        <v>2.83</v>
      </c>
      <c r="I65" s="12">
        <v>0</v>
      </c>
    </row>
    <row r="66" spans="2:9" ht="15" customHeight="1" x14ac:dyDescent="0.2">
      <c r="B66" t="s">
        <v>172</v>
      </c>
      <c r="C66" s="12">
        <v>3</v>
      </c>
      <c r="D66" s="8">
        <v>2.2400000000000002</v>
      </c>
      <c r="E66" s="12">
        <v>1</v>
      </c>
      <c r="F66" s="8">
        <v>3.57</v>
      </c>
      <c r="G66" s="12">
        <v>2</v>
      </c>
      <c r="H66" s="8">
        <v>1.89</v>
      </c>
      <c r="I66" s="12">
        <v>0</v>
      </c>
    </row>
    <row r="67" spans="2:9" ht="15" customHeight="1" x14ac:dyDescent="0.2">
      <c r="B67" t="s">
        <v>218</v>
      </c>
      <c r="C67" s="12">
        <v>3</v>
      </c>
      <c r="D67" s="8">
        <v>2.2400000000000002</v>
      </c>
      <c r="E67" s="12">
        <v>0</v>
      </c>
      <c r="F67" s="8">
        <v>0</v>
      </c>
      <c r="G67" s="12">
        <v>3</v>
      </c>
      <c r="H67" s="8">
        <v>2.83</v>
      </c>
      <c r="I67" s="12">
        <v>0</v>
      </c>
    </row>
    <row r="68" spans="2:9" ht="15" customHeight="1" x14ac:dyDescent="0.2">
      <c r="B68" t="s">
        <v>219</v>
      </c>
      <c r="C68" s="12">
        <v>3</v>
      </c>
      <c r="D68" s="8">
        <v>2.2400000000000002</v>
      </c>
      <c r="E68" s="12">
        <v>0</v>
      </c>
      <c r="F68" s="8">
        <v>0</v>
      </c>
      <c r="G68" s="12">
        <v>3</v>
      </c>
      <c r="H68" s="8">
        <v>2.83</v>
      </c>
      <c r="I68" s="12">
        <v>0</v>
      </c>
    </row>
    <row r="69" spans="2:9" ht="15" customHeight="1" x14ac:dyDescent="0.2">
      <c r="B69" t="s">
        <v>179</v>
      </c>
      <c r="C69" s="12">
        <v>2</v>
      </c>
      <c r="D69" s="8">
        <v>1.49</v>
      </c>
      <c r="E69" s="12">
        <v>0</v>
      </c>
      <c r="F69" s="8">
        <v>0</v>
      </c>
      <c r="G69" s="12">
        <v>2</v>
      </c>
      <c r="H69" s="8">
        <v>1.89</v>
      </c>
      <c r="I69" s="12">
        <v>0</v>
      </c>
    </row>
    <row r="70" spans="2:9" ht="15" customHeight="1" x14ac:dyDescent="0.2">
      <c r="B70" t="s">
        <v>184</v>
      </c>
      <c r="C70" s="12">
        <v>2</v>
      </c>
      <c r="D70" s="8">
        <v>1.49</v>
      </c>
      <c r="E70" s="12">
        <v>0</v>
      </c>
      <c r="F70" s="8">
        <v>0</v>
      </c>
      <c r="G70" s="12">
        <v>2</v>
      </c>
      <c r="H70" s="8">
        <v>1.89</v>
      </c>
      <c r="I70" s="12">
        <v>0</v>
      </c>
    </row>
    <row r="71" spans="2:9" ht="15" customHeight="1" x14ac:dyDescent="0.2">
      <c r="B71" t="s">
        <v>189</v>
      </c>
      <c r="C71" s="12">
        <v>2</v>
      </c>
      <c r="D71" s="8">
        <v>1.49</v>
      </c>
      <c r="E71" s="12">
        <v>0</v>
      </c>
      <c r="F71" s="8">
        <v>0</v>
      </c>
      <c r="G71" s="12">
        <v>2</v>
      </c>
      <c r="H71" s="8">
        <v>1.89</v>
      </c>
      <c r="I71" s="12">
        <v>0</v>
      </c>
    </row>
    <row r="72" spans="2:9" ht="15" customHeight="1" x14ac:dyDescent="0.2">
      <c r="B72" t="s">
        <v>194</v>
      </c>
      <c r="C72" s="12">
        <v>2</v>
      </c>
      <c r="D72" s="8">
        <v>1.49</v>
      </c>
      <c r="E72" s="12">
        <v>0</v>
      </c>
      <c r="F72" s="8">
        <v>0</v>
      </c>
      <c r="G72" s="12">
        <v>2</v>
      </c>
      <c r="H72" s="8">
        <v>1.89</v>
      </c>
      <c r="I72" s="12">
        <v>0</v>
      </c>
    </row>
    <row r="73" spans="2:9" ht="15" customHeight="1" x14ac:dyDescent="0.2">
      <c r="B73" t="s">
        <v>211</v>
      </c>
      <c r="C73" s="12">
        <v>2</v>
      </c>
      <c r="D73" s="8">
        <v>1.49</v>
      </c>
      <c r="E73" s="12">
        <v>0</v>
      </c>
      <c r="F73" s="8">
        <v>0</v>
      </c>
      <c r="G73" s="12">
        <v>2</v>
      </c>
      <c r="H73" s="8">
        <v>1.89</v>
      </c>
      <c r="I73" s="12">
        <v>0</v>
      </c>
    </row>
    <row r="74" spans="2:9" ht="15" customHeight="1" x14ac:dyDescent="0.2">
      <c r="B74" t="s">
        <v>213</v>
      </c>
      <c r="C74" s="12">
        <v>2</v>
      </c>
      <c r="D74" s="8">
        <v>1.49</v>
      </c>
      <c r="E74" s="12">
        <v>0</v>
      </c>
      <c r="F74" s="8">
        <v>0</v>
      </c>
      <c r="G74" s="12">
        <v>2</v>
      </c>
      <c r="H74" s="8">
        <v>1.89</v>
      </c>
      <c r="I74" s="12">
        <v>0</v>
      </c>
    </row>
    <row r="75" spans="2:9" ht="15" customHeight="1" x14ac:dyDescent="0.2">
      <c r="B75" t="s">
        <v>205</v>
      </c>
      <c r="C75" s="12">
        <v>2</v>
      </c>
      <c r="D75" s="8">
        <v>1.49</v>
      </c>
      <c r="E75" s="12">
        <v>0</v>
      </c>
      <c r="F75" s="8">
        <v>0</v>
      </c>
      <c r="G75" s="12">
        <v>2</v>
      </c>
      <c r="H75" s="8">
        <v>1.89</v>
      </c>
      <c r="I75" s="12">
        <v>0</v>
      </c>
    </row>
    <row r="76" spans="2:9" ht="15" customHeight="1" x14ac:dyDescent="0.2">
      <c r="B76" t="s">
        <v>198</v>
      </c>
      <c r="C76" s="12">
        <v>2</v>
      </c>
      <c r="D76" s="8">
        <v>1.49</v>
      </c>
      <c r="E76" s="12">
        <v>0</v>
      </c>
      <c r="F76" s="8">
        <v>0</v>
      </c>
      <c r="G76" s="12">
        <v>2</v>
      </c>
      <c r="H76" s="8">
        <v>1.89</v>
      </c>
      <c r="I76" s="12">
        <v>0</v>
      </c>
    </row>
    <row r="77" spans="2:9" ht="15" customHeight="1" x14ac:dyDescent="0.2">
      <c r="B77" t="s">
        <v>215</v>
      </c>
      <c r="C77" s="12">
        <v>2</v>
      </c>
      <c r="D77" s="8">
        <v>1.49</v>
      </c>
      <c r="E77" s="12">
        <v>0</v>
      </c>
      <c r="F77" s="8">
        <v>0</v>
      </c>
      <c r="G77" s="12">
        <v>2</v>
      </c>
      <c r="H77" s="8">
        <v>1.89</v>
      </c>
      <c r="I77" s="12">
        <v>0</v>
      </c>
    </row>
    <row r="78" spans="2:9" ht="15" customHeight="1" x14ac:dyDescent="0.2">
      <c r="B78" t="s">
        <v>160</v>
      </c>
      <c r="C78" s="12">
        <v>2</v>
      </c>
      <c r="D78" s="8">
        <v>1.49</v>
      </c>
      <c r="E78" s="12">
        <v>0</v>
      </c>
      <c r="F78" s="8">
        <v>0</v>
      </c>
      <c r="G78" s="12">
        <v>2</v>
      </c>
      <c r="H78" s="8">
        <v>1.89</v>
      </c>
      <c r="I78" s="12">
        <v>0</v>
      </c>
    </row>
    <row r="79" spans="2:9" ht="15" customHeight="1" x14ac:dyDescent="0.2">
      <c r="B79" t="s">
        <v>165</v>
      </c>
      <c r="C79" s="12">
        <v>2</v>
      </c>
      <c r="D79" s="8">
        <v>1.49</v>
      </c>
      <c r="E79" s="12">
        <v>0</v>
      </c>
      <c r="F79" s="8">
        <v>0</v>
      </c>
      <c r="G79" s="12">
        <v>2</v>
      </c>
      <c r="H79" s="8">
        <v>1.89</v>
      </c>
      <c r="I79" s="12">
        <v>0</v>
      </c>
    </row>
    <row r="80" spans="2:9" ht="15" customHeight="1" x14ac:dyDescent="0.2">
      <c r="B80" t="s">
        <v>217</v>
      </c>
      <c r="C80" s="12">
        <v>2</v>
      </c>
      <c r="D80" s="8">
        <v>1.49</v>
      </c>
      <c r="E80" s="12">
        <v>1</v>
      </c>
      <c r="F80" s="8">
        <v>3.57</v>
      </c>
      <c r="G80" s="12">
        <v>1</v>
      </c>
      <c r="H80" s="8">
        <v>0.94</v>
      </c>
      <c r="I80" s="12">
        <v>0</v>
      </c>
    </row>
    <row r="81" spans="2:9" ht="15" customHeight="1" x14ac:dyDescent="0.2">
      <c r="B81" t="s">
        <v>171</v>
      </c>
      <c r="C81" s="12">
        <v>2</v>
      </c>
      <c r="D81" s="8">
        <v>1.49</v>
      </c>
      <c r="E81" s="12">
        <v>1</v>
      </c>
      <c r="F81" s="8">
        <v>3.57</v>
      </c>
      <c r="G81" s="12">
        <v>1</v>
      </c>
      <c r="H81" s="8">
        <v>0.94</v>
      </c>
      <c r="I81" s="12">
        <v>0</v>
      </c>
    </row>
    <row r="83" spans="2:9" ht="15" customHeight="1" x14ac:dyDescent="0.2">
      <c r="B83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3D66-8698-403D-BF00-6CE0DD5C090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66</v>
      </c>
      <c r="C6" s="12">
        <v>1464</v>
      </c>
      <c r="D6" s="8">
        <v>15.07</v>
      </c>
      <c r="E6" s="12">
        <v>286</v>
      </c>
      <c r="F6" s="8">
        <v>7.53</v>
      </c>
      <c r="G6" s="12">
        <v>1178</v>
      </c>
      <c r="H6" s="8">
        <v>20.04</v>
      </c>
      <c r="I6" s="12">
        <v>0</v>
      </c>
    </row>
    <row r="7" spans="2:9" ht="15" customHeight="1" x14ac:dyDescent="0.2">
      <c r="B7" t="s">
        <v>67</v>
      </c>
      <c r="C7" s="12">
        <v>900</v>
      </c>
      <c r="D7" s="8">
        <v>9.27</v>
      </c>
      <c r="E7" s="12">
        <v>204</v>
      </c>
      <c r="F7" s="8">
        <v>5.37</v>
      </c>
      <c r="G7" s="12">
        <v>696</v>
      </c>
      <c r="H7" s="8">
        <v>11.84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0.03</v>
      </c>
      <c r="E8" s="12">
        <v>0</v>
      </c>
      <c r="F8" s="8">
        <v>0</v>
      </c>
      <c r="G8" s="12">
        <v>3</v>
      </c>
      <c r="H8" s="8">
        <v>0.05</v>
      </c>
      <c r="I8" s="12">
        <v>0</v>
      </c>
    </row>
    <row r="9" spans="2:9" ht="15" customHeight="1" x14ac:dyDescent="0.2">
      <c r="B9" t="s">
        <v>69</v>
      </c>
      <c r="C9" s="12">
        <v>185</v>
      </c>
      <c r="D9" s="8">
        <v>1.9</v>
      </c>
      <c r="E9" s="12">
        <v>11</v>
      </c>
      <c r="F9" s="8">
        <v>0.28999999999999998</v>
      </c>
      <c r="G9" s="12">
        <v>174</v>
      </c>
      <c r="H9" s="8">
        <v>2.96</v>
      </c>
      <c r="I9" s="12">
        <v>0</v>
      </c>
    </row>
    <row r="10" spans="2:9" ht="15" customHeight="1" x14ac:dyDescent="0.2">
      <c r="B10" t="s">
        <v>70</v>
      </c>
      <c r="C10" s="12">
        <v>108</v>
      </c>
      <c r="D10" s="8">
        <v>1.1100000000000001</v>
      </c>
      <c r="E10" s="12">
        <v>46</v>
      </c>
      <c r="F10" s="8">
        <v>1.21</v>
      </c>
      <c r="G10" s="12">
        <v>62</v>
      </c>
      <c r="H10" s="8">
        <v>1.05</v>
      </c>
      <c r="I10" s="12">
        <v>0</v>
      </c>
    </row>
    <row r="11" spans="2:9" ht="15" customHeight="1" x14ac:dyDescent="0.2">
      <c r="B11" t="s">
        <v>71</v>
      </c>
      <c r="C11" s="12">
        <v>1864</v>
      </c>
      <c r="D11" s="8">
        <v>19.190000000000001</v>
      </c>
      <c r="E11" s="12">
        <v>606</v>
      </c>
      <c r="F11" s="8">
        <v>15.96</v>
      </c>
      <c r="G11" s="12">
        <v>1256</v>
      </c>
      <c r="H11" s="8">
        <v>21.36</v>
      </c>
      <c r="I11" s="12">
        <v>2</v>
      </c>
    </row>
    <row r="12" spans="2:9" ht="15" customHeight="1" x14ac:dyDescent="0.2">
      <c r="B12" t="s">
        <v>72</v>
      </c>
      <c r="C12" s="12">
        <v>65</v>
      </c>
      <c r="D12" s="8">
        <v>0.67</v>
      </c>
      <c r="E12" s="12">
        <v>8</v>
      </c>
      <c r="F12" s="8">
        <v>0.21</v>
      </c>
      <c r="G12" s="12">
        <v>57</v>
      </c>
      <c r="H12" s="8">
        <v>0.97</v>
      </c>
      <c r="I12" s="12">
        <v>0</v>
      </c>
    </row>
    <row r="13" spans="2:9" ht="15" customHeight="1" x14ac:dyDescent="0.2">
      <c r="B13" t="s">
        <v>73</v>
      </c>
      <c r="C13" s="12">
        <v>1183</v>
      </c>
      <c r="D13" s="8">
        <v>12.18</v>
      </c>
      <c r="E13" s="12">
        <v>298</v>
      </c>
      <c r="F13" s="8">
        <v>7.85</v>
      </c>
      <c r="G13" s="12">
        <v>883</v>
      </c>
      <c r="H13" s="8">
        <v>15.02</v>
      </c>
      <c r="I13" s="12">
        <v>2</v>
      </c>
    </row>
    <row r="14" spans="2:9" ht="15" customHeight="1" x14ac:dyDescent="0.2">
      <c r="B14" t="s">
        <v>74</v>
      </c>
      <c r="C14" s="12">
        <v>623</v>
      </c>
      <c r="D14" s="8">
        <v>6.41</v>
      </c>
      <c r="E14" s="12">
        <v>232</v>
      </c>
      <c r="F14" s="8">
        <v>6.11</v>
      </c>
      <c r="G14" s="12">
        <v>389</v>
      </c>
      <c r="H14" s="8">
        <v>6.62</v>
      </c>
      <c r="I14" s="12">
        <v>1</v>
      </c>
    </row>
    <row r="15" spans="2:9" ht="15" customHeight="1" x14ac:dyDescent="0.2">
      <c r="B15" t="s">
        <v>75</v>
      </c>
      <c r="C15" s="12">
        <v>975</v>
      </c>
      <c r="D15" s="8">
        <v>10.039999999999999</v>
      </c>
      <c r="E15" s="12">
        <v>714</v>
      </c>
      <c r="F15" s="8">
        <v>18.8</v>
      </c>
      <c r="G15" s="12">
        <v>259</v>
      </c>
      <c r="H15" s="8">
        <v>4.41</v>
      </c>
      <c r="I15" s="12">
        <v>0</v>
      </c>
    </row>
    <row r="16" spans="2:9" ht="15" customHeight="1" x14ac:dyDescent="0.2">
      <c r="B16" t="s">
        <v>76</v>
      </c>
      <c r="C16" s="12">
        <v>1067</v>
      </c>
      <c r="D16" s="8">
        <v>10.99</v>
      </c>
      <c r="E16" s="12">
        <v>733</v>
      </c>
      <c r="F16" s="8">
        <v>19.3</v>
      </c>
      <c r="G16" s="12">
        <v>324</v>
      </c>
      <c r="H16" s="8">
        <v>5.51</v>
      </c>
      <c r="I16" s="12">
        <v>6</v>
      </c>
    </row>
    <row r="17" spans="2:9" ht="15" customHeight="1" x14ac:dyDescent="0.2">
      <c r="B17" t="s">
        <v>77</v>
      </c>
      <c r="C17" s="12">
        <v>375</v>
      </c>
      <c r="D17" s="8">
        <v>3.86</v>
      </c>
      <c r="E17" s="12">
        <v>251</v>
      </c>
      <c r="F17" s="8">
        <v>6.61</v>
      </c>
      <c r="G17" s="12">
        <v>118</v>
      </c>
      <c r="H17" s="8">
        <v>2.0099999999999998</v>
      </c>
      <c r="I17" s="12">
        <v>1</v>
      </c>
    </row>
    <row r="18" spans="2:9" ht="15" customHeight="1" x14ac:dyDescent="0.2">
      <c r="B18" t="s">
        <v>78</v>
      </c>
      <c r="C18" s="12">
        <v>523</v>
      </c>
      <c r="D18" s="8">
        <v>5.39</v>
      </c>
      <c r="E18" s="12">
        <v>299</v>
      </c>
      <c r="F18" s="8">
        <v>7.87</v>
      </c>
      <c r="G18" s="12">
        <v>217</v>
      </c>
      <c r="H18" s="8">
        <v>3.69</v>
      </c>
      <c r="I18" s="12">
        <v>2</v>
      </c>
    </row>
    <row r="19" spans="2:9" ht="15" customHeight="1" x14ac:dyDescent="0.2">
      <c r="B19" t="s">
        <v>79</v>
      </c>
      <c r="C19" s="12">
        <v>376</v>
      </c>
      <c r="D19" s="8">
        <v>3.87</v>
      </c>
      <c r="E19" s="12">
        <v>110</v>
      </c>
      <c r="F19" s="8">
        <v>2.9</v>
      </c>
      <c r="G19" s="12">
        <v>262</v>
      </c>
      <c r="H19" s="8">
        <v>4.46</v>
      </c>
      <c r="I19" s="12">
        <v>2</v>
      </c>
    </row>
    <row r="20" spans="2:9" ht="15" customHeight="1" x14ac:dyDescent="0.2">
      <c r="B20" s="9" t="s">
        <v>280</v>
      </c>
      <c r="C20" s="12">
        <f>SUM(LTBL_13201[総数／事業所数])</f>
        <v>9712</v>
      </c>
      <c r="E20" s="12">
        <f>SUBTOTAL(109,LTBL_13201[個人／事業所数])</f>
        <v>3798</v>
      </c>
      <c r="G20" s="12">
        <f>SUBTOTAL(109,LTBL_13201[法人／事業所数])</f>
        <v>5879</v>
      </c>
      <c r="I20" s="12">
        <f>SUBTOTAL(109,LTBL_13201[法人以外の団体／事業所数])</f>
        <v>16</v>
      </c>
    </row>
    <row r="21" spans="2:9" ht="15" customHeight="1" x14ac:dyDescent="0.2">
      <c r="E21" s="11">
        <f>LTBL_13201[[#Totals],[個人／事業所数]]/LTBL_13201[[#Totals],[総数／事業所数]]</f>
        <v>0.39106260296540363</v>
      </c>
      <c r="G21" s="11">
        <f>LTBL_13201[[#Totals],[法人／事業所数]]/LTBL_13201[[#Totals],[総数／事業所数]]</f>
        <v>0.60533360790774304</v>
      </c>
      <c r="I21" s="11">
        <f>LTBL_13201[[#Totals],[法人以外の団体／事業所数]]/LTBL_13201[[#Totals],[総数／事業所数]]</f>
        <v>1.6474464579901153E-3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939</v>
      </c>
      <c r="D24" s="8">
        <v>9.67</v>
      </c>
      <c r="E24" s="12">
        <v>283</v>
      </c>
      <c r="F24" s="8">
        <v>7.45</v>
      </c>
      <c r="G24" s="12">
        <v>654</v>
      </c>
      <c r="H24" s="8">
        <v>11.12</v>
      </c>
      <c r="I24" s="12">
        <v>2</v>
      </c>
    </row>
    <row r="25" spans="2:9" ht="15" customHeight="1" x14ac:dyDescent="0.2">
      <c r="B25" t="s">
        <v>103</v>
      </c>
      <c r="C25" s="12">
        <v>879</v>
      </c>
      <c r="D25" s="8">
        <v>9.0500000000000007</v>
      </c>
      <c r="E25" s="12">
        <v>701</v>
      </c>
      <c r="F25" s="8">
        <v>18.46</v>
      </c>
      <c r="G25" s="12">
        <v>178</v>
      </c>
      <c r="H25" s="8">
        <v>3.03</v>
      </c>
      <c r="I25" s="12">
        <v>0</v>
      </c>
    </row>
    <row r="26" spans="2:9" ht="15" customHeight="1" x14ac:dyDescent="0.2">
      <c r="B26" t="s">
        <v>104</v>
      </c>
      <c r="C26" s="12">
        <v>844</v>
      </c>
      <c r="D26" s="8">
        <v>8.69</v>
      </c>
      <c r="E26" s="12">
        <v>661</v>
      </c>
      <c r="F26" s="8">
        <v>17.399999999999999</v>
      </c>
      <c r="G26" s="12">
        <v>183</v>
      </c>
      <c r="H26" s="8">
        <v>3.11</v>
      </c>
      <c r="I26" s="12">
        <v>0</v>
      </c>
    </row>
    <row r="27" spans="2:9" ht="15" customHeight="1" x14ac:dyDescent="0.2">
      <c r="B27" t="s">
        <v>88</v>
      </c>
      <c r="C27" s="12">
        <v>562</v>
      </c>
      <c r="D27" s="8">
        <v>5.79</v>
      </c>
      <c r="E27" s="12">
        <v>85</v>
      </c>
      <c r="F27" s="8">
        <v>2.2400000000000002</v>
      </c>
      <c r="G27" s="12">
        <v>477</v>
      </c>
      <c r="H27" s="8">
        <v>8.11</v>
      </c>
      <c r="I27" s="12">
        <v>0</v>
      </c>
    </row>
    <row r="28" spans="2:9" ht="15" customHeight="1" x14ac:dyDescent="0.2">
      <c r="B28" t="s">
        <v>89</v>
      </c>
      <c r="C28" s="12">
        <v>508</v>
      </c>
      <c r="D28" s="8">
        <v>5.23</v>
      </c>
      <c r="E28" s="12">
        <v>136</v>
      </c>
      <c r="F28" s="8">
        <v>3.58</v>
      </c>
      <c r="G28" s="12">
        <v>372</v>
      </c>
      <c r="H28" s="8">
        <v>6.33</v>
      </c>
      <c r="I28" s="12">
        <v>0</v>
      </c>
    </row>
    <row r="29" spans="2:9" ht="15" customHeight="1" x14ac:dyDescent="0.2">
      <c r="B29" t="s">
        <v>98</v>
      </c>
      <c r="C29" s="12">
        <v>460</v>
      </c>
      <c r="D29" s="8">
        <v>4.74</v>
      </c>
      <c r="E29" s="12">
        <v>201</v>
      </c>
      <c r="F29" s="8">
        <v>5.29</v>
      </c>
      <c r="G29" s="12">
        <v>259</v>
      </c>
      <c r="H29" s="8">
        <v>4.41</v>
      </c>
      <c r="I29" s="12">
        <v>0</v>
      </c>
    </row>
    <row r="30" spans="2:9" ht="15" customHeight="1" x14ac:dyDescent="0.2">
      <c r="B30" t="s">
        <v>90</v>
      </c>
      <c r="C30" s="12">
        <v>394</v>
      </c>
      <c r="D30" s="8">
        <v>4.0599999999999996</v>
      </c>
      <c r="E30" s="12">
        <v>65</v>
      </c>
      <c r="F30" s="8">
        <v>1.71</v>
      </c>
      <c r="G30" s="12">
        <v>329</v>
      </c>
      <c r="H30" s="8">
        <v>5.6</v>
      </c>
      <c r="I30" s="12">
        <v>0</v>
      </c>
    </row>
    <row r="31" spans="2:9" ht="15" customHeight="1" x14ac:dyDescent="0.2">
      <c r="B31" t="s">
        <v>105</v>
      </c>
      <c r="C31" s="12">
        <v>375</v>
      </c>
      <c r="D31" s="8">
        <v>3.86</v>
      </c>
      <c r="E31" s="12">
        <v>251</v>
      </c>
      <c r="F31" s="8">
        <v>6.61</v>
      </c>
      <c r="G31" s="12">
        <v>118</v>
      </c>
      <c r="H31" s="8">
        <v>2.0099999999999998</v>
      </c>
      <c r="I31" s="12">
        <v>1</v>
      </c>
    </row>
    <row r="32" spans="2:9" ht="15" customHeight="1" x14ac:dyDescent="0.2">
      <c r="B32" t="s">
        <v>101</v>
      </c>
      <c r="C32" s="12">
        <v>352</v>
      </c>
      <c r="D32" s="8">
        <v>3.62</v>
      </c>
      <c r="E32" s="12">
        <v>169</v>
      </c>
      <c r="F32" s="8">
        <v>4.45</v>
      </c>
      <c r="G32" s="12">
        <v>182</v>
      </c>
      <c r="H32" s="8">
        <v>3.1</v>
      </c>
      <c r="I32" s="12">
        <v>1</v>
      </c>
    </row>
    <row r="33" spans="2:9" ht="15" customHeight="1" x14ac:dyDescent="0.2">
      <c r="B33" t="s">
        <v>106</v>
      </c>
      <c r="C33" s="12">
        <v>352</v>
      </c>
      <c r="D33" s="8">
        <v>3.62</v>
      </c>
      <c r="E33" s="12">
        <v>291</v>
      </c>
      <c r="F33" s="8">
        <v>7.66</v>
      </c>
      <c r="G33" s="12">
        <v>61</v>
      </c>
      <c r="H33" s="8">
        <v>1.04</v>
      </c>
      <c r="I33" s="12">
        <v>0</v>
      </c>
    </row>
    <row r="34" spans="2:9" ht="15" customHeight="1" x14ac:dyDescent="0.2">
      <c r="B34" t="s">
        <v>96</v>
      </c>
      <c r="C34" s="12">
        <v>310</v>
      </c>
      <c r="D34" s="8">
        <v>3.19</v>
      </c>
      <c r="E34" s="12">
        <v>157</v>
      </c>
      <c r="F34" s="8">
        <v>4.13</v>
      </c>
      <c r="G34" s="12">
        <v>153</v>
      </c>
      <c r="H34" s="8">
        <v>2.6</v>
      </c>
      <c r="I34" s="12">
        <v>0</v>
      </c>
    </row>
    <row r="35" spans="2:9" ht="15" customHeight="1" x14ac:dyDescent="0.2">
      <c r="B35" t="s">
        <v>97</v>
      </c>
      <c r="C35" s="12">
        <v>253</v>
      </c>
      <c r="D35" s="8">
        <v>2.61</v>
      </c>
      <c r="E35" s="12">
        <v>116</v>
      </c>
      <c r="F35" s="8">
        <v>3.05</v>
      </c>
      <c r="G35" s="12">
        <v>137</v>
      </c>
      <c r="H35" s="8">
        <v>2.33</v>
      </c>
      <c r="I35" s="12">
        <v>0</v>
      </c>
    </row>
    <row r="36" spans="2:9" ht="15" customHeight="1" x14ac:dyDescent="0.2">
      <c r="B36" t="s">
        <v>102</v>
      </c>
      <c r="C36" s="12">
        <v>248</v>
      </c>
      <c r="D36" s="8">
        <v>2.5499999999999998</v>
      </c>
      <c r="E36" s="12">
        <v>62</v>
      </c>
      <c r="F36" s="8">
        <v>1.63</v>
      </c>
      <c r="G36" s="12">
        <v>185</v>
      </c>
      <c r="H36" s="8">
        <v>3.15</v>
      </c>
      <c r="I36" s="12">
        <v>0</v>
      </c>
    </row>
    <row r="37" spans="2:9" ht="15" customHeight="1" x14ac:dyDescent="0.2">
      <c r="B37" t="s">
        <v>99</v>
      </c>
      <c r="C37" s="12">
        <v>200</v>
      </c>
      <c r="D37" s="8">
        <v>2.06</v>
      </c>
      <c r="E37" s="12">
        <v>13</v>
      </c>
      <c r="F37" s="8">
        <v>0.34</v>
      </c>
      <c r="G37" s="12">
        <v>187</v>
      </c>
      <c r="H37" s="8">
        <v>3.18</v>
      </c>
      <c r="I37" s="12">
        <v>0</v>
      </c>
    </row>
    <row r="38" spans="2:9" ht="15" customHeight="1" x14ac:dyDescent="0.2">
      <c r="B38" t="s">
        <v>95</v>
      </c>
      <c r="C38" s="12">
        <v>192</v>
      </c>
      <c r="D38" s="8">
        <v>1.98</v>
      </c>
      <c r="E38" s="12">
        <v>64</v>
      </c>
      <c r="F38" s="8">
        <v>1.69</v>
      </c>
      <c r="G38" s="12">
        <v>128</v>
      </c>
      <c r="H38" s="8">
        <v>2.1800000000000002</v>
      </c>
      <c r="I38" s="12">
        <v>0</v>
      </c>
    </row>
    <row r="39" spans="2:9" ht="15" customHeight="1" x14ac:dyDescent="0.2">
      <c r="B39" t="s">
        <v>93</v>
      </c>
      <c r="C39" s="12">
        <v>184</v>
      </c>
      <c r="D39" s="8">
        <v>1.89</v>
      </c>
      <c r="E39" s="12">
        <v>12</v>
      </c>
      <c r="F39" s="8">
        <v>0.32</v>
      </c>
      <c r="G39" s="12">
        <v>172</v>
      </c>
      <c r="H39" s="8">
        <v>2.93</v>
      </c>
      <c r="I39" s="12">
        <v>0</v>
      </c>
    </row>
    <row r="40" spans="2:9" ht="15" customHeight="1" x14ac:dyDescent="0.2">
      <c r="B40" t="s">
        <v>132</v>
      </c>
      <c r="C40" s="12">
        <v>171</v>
      </c>
      <c r="D40" s="8">
        <v>1.76</v>
      </c>
      <c r="E40" s="12">
        <v>8</v>
      </c>
      <c r="F40" s="8">
        <v>0.21</v>
      </c>
      <c r="G40" s="12">
        <v>156</v>
      </c>
      <c r="H40" s="8">
        <v>2.65</v>
      </c>
      <c r="I40" s="12">
        <v>2</v>
      </c>
    </row>
    <row r="41" spans="2:9" ht="15" customHeight="1" x14ac:dyDescent="0.2">
      <c r="B41" t="s">
        <v>107</v>
      </c>
      <c r="C41" s="12">
        <v>148</v>
      </c>
      <c r="D41" s="8">
        <v>1.52</v>
      </c>
      <c r="E41" s="12">
        <v>12</v>
      </c>
      <c r="F41" s="8">
        <v>0.32</v>
      </c>
      <c r="G41" s="12">
        <v>133</v>
      </c>
      <c r="H41" s="8">
        <v>2.2599999999999998</v>
      </c>
      <c r="I41" s="12">
        <v>2</v>
      </c>
    </row>
    <row r="42" spans="2:9" ht="15" customHeight="1" x14ac:dyDescent="0.2">
      <c r="B42" t="s">
        <v>115</v>
      </c>
      <c r="C42" s="12">
        <v>144</v>
      </c>
      <c r="D42" s="8">
        <v>1.48</v>
      </c>
      <c r="E42" s="12">
        <v>44</v>
      </c>
      <c r="F42" s="8">
        <v>1.1599999999999999</v>
      </c>
      <c r="G42" s="12">
        <v>96</v>
      </c>
      <c r="H42" s="8">
        <v>1.63</v>
      </c>
      <c r="I42" s="12">
        <v>1</v>
      </c>
    </row>
    <row r="43" spans="2:9" ht="15" customHeight="1" x14ac:dyDescent="0.2">
      <c r="B43" t="s">
        <v>94</v>
      </c>
      <c r="C43" s="12">
        <v>140</v>
      </c>
      <c r="D43" s="8">
        <v>1.44</v>
      </c>
      <c r="E43" s="12">
        <v>15</v>
      </c>
      <c r="F43" s="8">
        <v>0.39</v>
      </c>
      <c r="G43" s="12">
        <v>124</v>
      </c>
      <c r="H43" s="8">
        <v>2.11</v>
      </c>
      <c r="I43" s="12">
        <v>1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476</v>
      </c>
      <c r="D47" s="8">
        <v>4.9000000000000004</v>
      </c>
      <c r="E47" s="12">
        <v>203</v>
      </c>
      <c r="F47" s="8">
        <v>5.34</v>
      </c>
      <c r="G47" s="12">
        <v>273</v>
      </c>
      <c r="H47" s="8">
        <v>4.6399999999999997</v>
      </c>
      <c r="I47" s="12">
        <v>0</v>
      </c>
    </row>
    <row r="48" spans="2:9" ht="15" customHeight="1" x14ac:dyDescent="0.2">
      <c r="B48" t="s">
        <v>172</v>
      </c>
      <c r="C48" s="12">
        <v>433</v>
      </c>
      <c r="D48" s="8">
        <v>4.46</v>
      </c>
      <c r="E48" s="12">
        <v>357</v>
      </c>
      <c r="F48" s="8">
        <v>9.4</v>
      </c>
      <c r="G48" s="12">
        <v>76</v>
      </c>
      <c r="H48" s="8">
        <v>1.29</v>
      </c>
      <c r="I48" s="12">
        <v>0</v>
      </c>
    </row>
    <row r="49" spans="2:9" ht="15" customHeight="1" x14ac:dyDescent="0.2">
      <c r="B49" t="s">
        <v>173</v>
      </c>
      <c r="C49" s="12">
        <v>255</v>
      </c>
      <c r="D49" s="8">
        <v>2.63</v>
      </c>
      <c r="E49" s="12">
        <v>188</v>
      </c>
      <c r="F49" s="8">
        <v>4.95</v>
      </c>
      <c r="G49" s="12">
        <v>66</v>
      </c>
      <c r="H49" s="8">
        <v>1.1200000000000001</v>
      </c>
      <c r="I49" s="12">
        <v>1</v>
      </c>
    </row>
    <row r="50" spans="2:9" ht="15" customHeight="1" x14ac:dyDescent="0.2">
      <c r="B50" t="s">
        <v>168</v>
      </c>
      <c r="C50" s="12">
        <v>250</v>
      </c>
      <c r="D50" s="8">
        <v>2.57</v>
      </c>
      <c r="E50" s="12">
        <v>194</v>
      </c>
      <c r="F50" s="8">
        <v>5.1100000000000003</v>
      </c>
      <c r="G50" s="12">
        <v>56</v>
      </c>
      <c r="H50" s="8">
        <v>0.95</v>
      </c>
      <c r="I50" s="12">
        <v>0</v>
      </c>
    </row>
    <row r="51" spans="2:9" ht="15" customHeight="1" x14ac:dyDescent="0.2">
      <c r="B51" t="s">
        <v>171</v>
      </c>
      <c r="C51" s="12">
        <v>239</v>
      </c>
      <c r="D51" s="8">
        <v>2.46</v>
      </c>
      <c r="E51" s="12">
        <v>216</v>
      </c>
      <c r="F51" s="8">
        <v>5.69</v>
      </c>
      <c r="G51" s="12">
        <v>23</v>
      </c>
      <c r="H51" s="8">
        <v>0.39</v>
      </c>
      <c r="I51" s="12">
        <v>0</v>
      </c>
    </row>
    <row r="52" spans="2:9" ht="15" customHeight="1" x14ac:dyDescent="0.2">
      <c r="B52" t="s">
        <v>175</v>
      </c>
      <c r="C52" s="12">
        <v>227</v>
      </c>
      <c r="D52" s="8">
        <v>2.34</v>
      </c>
      <c r="E52" s="12">
        <v>192</v>
      </c>
      <c r="F52" s="8">
        <v>5.0599999999999996</v>
      </c>
      <c r="G52" s="12">
        <v>35</v>
      </c>
      <c r="H52" s="8">
        <v>0.6</v>
      </c>
      <c r="I52" s="12">
        <v>0</v>
      </c>
    </row>
    <row r="53" spans="2:9" ht="15" customHeight="1" x14ac:dyDescent="0.2">
      <c r="B53" t="s">
        <v>161</v>
      </c>
      <c r="C53" s="12">
        <v>201</v>
      </c>
      <c r="D53" s="8">
        <v>2.0699999999999998</v>
      </c>
      <c r="E53" s="12">
        <v>37</v>
      </c>
      <c r="F53" s="8">
        <v>0.97</v>
      </c>
      <c r="G53" s="12">
        <v>163</v>
      </c>
      <c r="H53" s="8">
        <v>2.77</v>
      </c>
      <c r="I53" s="12">
        <v>1</v>
      </c>
    </row>
    <row r="54" spans="2:9" ht="15" customHeight="1" x14ac:dyDescent="0.2">
      <c r="B54" t="s">
        <v>163</v>
      </c>
      <c r="C54" s="12">
        <v>188</v>
      </c>
      <c r="D54" s="8">
        <v>1.94</v>
      </c>
      <c r="E54" s="12">
        <v>8</v>
      </c>
      <c r="F54" s="8">
        <v>0.21</v>
      </c>
      <c r="G54" s="12">
        <v>179</v>
      </c>
      <c r="H54" s="8">
        <v>3.04</v>
      </c>
      <c r="I54" s="12">
        <v>1</v>
      </c>
    </row>
    <row r="55" spans="2:9" ht="15" customHeight="1" x14ac:dyDescent="0.2">
      <c r="B55" t="s">
        <v>169</v>
      </c>
      <c r="C55" s="12">
        <v>188</v>
      </c>
      <c r="D55" s="8">
        <v>1.94</v>
      </c>
      <c r="E55" s="12">
        <v>158</v>
      </c>
      <c r="F55" s="8">
        <v>4.16</v>
      </c>
      <c r="G55" s="12">
        <v>30</v>
      </c>
      <c r="H55" s="8">
        <v>0.51</v>
      </c>
      <c r="I55" s="12">
        <v>0</v>
      </c>
    </row>
    <row r="56" spans="2:9" ht="15" customHeight="1" x14ac:dyDescent="0.2">
      <c r="B56" t="s">
        <v>201</v>
      </c>
      <c r="C56" s="12">
        <v>172</v>
      </c>
      <c r="D56" s="8">
        <v>1.77</v>
      </c>
      <c r="E56" s="12">
        <v>30</v>
      </c>
      <c r="F56" s="8">
        <v>0.79</v>
      </c>
      <c r="G56" s="12">
        <v>142</v>
      </c>
      <c r="H56" s="8">
        <v>2.42</v>
      </c>
      <c r="I56" s="12">
        <v>0</v>
      </c>
    </row>
    <row r="57" spans="2:9" ht="15" customHeight="1" x14ac:dyDescent="0.2">
      <c r="B57" t="s">
        <v>159</v>
      </c>
      <c r="C57" s="12">
        <v>168</v>
      </c>
      <c r="D57" s="8">
        <v>1.73</v>
      </c>
      <c r="E57" s="12">
        <v>97</v>
      </c>
      <c r="F57" s="8">
        <v>2.5499999999999998</v>
      </c>
      <c r="G57" s="12">
        <v>71</v>
      </c>
      <c r="H57" s="8">
        <v>1.21</v>
      </c>
      <c r="I57" s="12">
        <v>0</v>
      </c>
    </row>
    <row r="58" spans="2:9" ht="15" customHeight="1" x14ac:dyDescent="0.2">
      <c r="B58" t="s">
        <v>221</v>
      </c>
      <c r="C58" s="12">
        <v>157</v>
      </c>
      <c r="D58" s="8">
        <v>1.62</v>
      </c>
      <c r="E58" s="12">
        <v>67</v>
      </c>
      <c r="F58" s="8">
        <v>1.76</v>
      </c>
      <c r="G58" s="12">
        <v>90</v>
      </c>
      <c r="H58" s="8">
        <v>1.53</v>
      </c>
      <c r="I58" s="12">
        <v>0</v>
      </c>
    </row>
    <row r="59" spans="2:9" ht="15" customHeight="1" x14ac:dyDescent="0.2">
      <c r="B59" t="s">
        <v>192</v>
      </c>
      <c r="C59" s="12">
        <v>156</v>
      </c>
      <c r="D59" s="8">
        <v>1.61</v>
      </c>
      <c r="E59" s="12">
        <v>33</v>
      </c>
      <c r="F59" s="8">
        <v>0.87</v>
      </c>
      <c r="G59" s="12">
        <v>123</v>
      </c>
      <c r="H59" s="8">
        <v>2.09</v>
      </c>
      <c r="I59" s="12">
        <v>0</v>
      </c>
    </row>
    <row r="60" spans="2:9" ht="15" customHeight="1" x14ac:dyDescent="0.2">
      <c r="B60" t="s">
        <v>167</v>
      </c>
      <c r="C60" s="12">
        <v>149</v>
      </c>
      <c r="D60" s="8">
        <v>1.53</v>
      </c>
      <c r="E60" s="12">
        <v>30</v>
      </c>
      <c r="F60" s="8">
        <v>0.79</v>
      </c>
      <c r="G60" s="12">
        <v>118</v>
      </c>
      <c r="H60" s="8">
        <v>2.0099999999999998</v>
      </c>
      <c r="I60" s="12">
        <v>0</v>
      </c>
    </row>
    <row r="61" spans="2:9" ht="15" customHeight="1" x14ac:dyDescent="0.2">
      <c r="B61" t="s">
        <v>200</v>
      </c>
      <c r="C61" s="12">
        <v>147</v>
      </c>
      <c r="D61" s="8">
        <v>1.51</v>
      </c>
      <c r="E61" s="12">
        <v>15</v>
      </c>
      <c r="F61" s="8">
        <v>0.39</v>
      </c>
      <c r="G61" s="12">
        <v>132</v>
      </c>
      <c r="H61" s="8">
        <v>2.25</v>
      </c>
      <c r="I61" s="12">
        <v>0</v>
      </c>
    </row>
    <row r="62" spans="2:9" ht="15" customHeight="1" x14ac:dyDescent="0.2">
      <c r="B62" t="s">
        <v>170</v>
      </c>
      <c r="C62" s="12">
        <v>145</v>
      </c>
      <c r="D62" s="8">
        <v>1.49</v>
      </c>
      <c r="E62" s="12">
        <v>122</v>
      </c>
      <c r="F62" s="8">
        <v>3.21</v>
      </c>
      <c r="G62" s="12">
        <v>23</v>
      </c>
      <c r="H62" s="8">
        <v>0.39</v>
      </c>
      <c r="I62" s="12">
        <v>0</v>
      </c>
    </row>
    <row r="63" spans="2:9" ht="15" customHeight="1" x14ac:dyDescent="0.2">
      <c r="B63" t="s">
        <v>160</v>
      </c>
      <c r="C63" s="12">
        <v>143</v>
      </c>
      <c r="D63" s="8">
        <v>1.47</v>
      </c>
      <c r="E63" s="12">
        <v>13</v>
      </c>
      <c r="F63" s="8">
        <v>0.34</v>
      </c>
      <c r="G63" s="12">
        <v>130</v>
      </c>
      <c r="H63" s="8">
        <v>2.21</v>
      </c>
      <c r="I63" s="12">
        <v>0</v>
      </c>
    </row>
    <row r="64" spans="2:9" ht="15" customHeight="1" x14ac:dyDescent="0.2">
      <c r="B64" t="s">
        <v>220</v>
      </c>
      <c r="C64" s="12">
        <v>142</v>
      </c>
      <c r="D64" s="8">
        <v>1.46</v>
      </c>
      <c r="E64" s="12">
        <v>15</v>
      </c>
      <c r="F64" s="8">
        <v>0.39</v>
      </c>
      <c r="G64" s="12">
        <v>127</v>
      </c>
      <c r="H64" s="8">
        <v>2.16</v>
      </c>
      <c r="I64" s="12">
        <v>0</v>
      </c>
    </row>
    <row r="65" spans="2:9" ht="15" customHeight="1" x14ac:dyDescent="0.2">
      <c r="B65" t="s">
        <v>158</v>
      </c>
      <c r="C65" s="12">
        <v>133</v>
      </c>
      <c r="D65" s="8">
        <v>1.37</v>
      </c>
      <c r="E65" s="12">
        <v>56</v>
      </c>
      <c r="F65" s="8">
        <v>1.47</v>
      </c>
      <c r="G65" s="12">
        <v>77</v>
      </c>
      <c r="H65" s="8">
        <v>1.31</v>
      </c>
      <c r="I65" s="12">
        <v>0</v>
      </c>
    </row>
    <row r="66" spans="2:9" ht="15" customHeight="1" x14ac:dyDescent="0.2">
      <c r="B66" t="s">
        <v>206</v>
      </c>
      <c r="C66" s="12">
        <v>132</v>
      </c>
      <c r="D66" s="8">
        <v>1.36</v>
      </c>
      <c r="E66" s="12">
        <v>20</v>
      </c>
      <c r="F66" s="8">
        <v>0.53</v>
      </c>
      <c r="G66" s="12">
        <v>112</v>
      </c>
      <c r="H66" s="8">
        <v>1.91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2BC2-2E7B-46C8-A861-7B10E19B5B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66</v>
      </c>
      <c r="C6" s="12">
        <v>465</v>
      </c>
      <c r="D6" s="8">
        <v>12.65</v>
      </c>
      <c r="E6" s="12">
        <v>57</v>
      </c>
      <c r="F6" s="8">
        <v>4.54</v>
      </c>
      <c r="G6" s="12">
        <v>408</v>
      </c>
      <c r="H6" s="8">
        <v>16.989999999999998</v>
      </c>
      <c r="I6" s="12">
        <v>0</v>
      </c>
    </row>
    <row r="7" spans="2:9" ht="15" customHeight="1" x14ac:dyDescent="0.2">
      <c r="B7" t="s">
        <v>67</v>
      </c>
      <c r="C7" s="12">
        <v>165</v>
      </c>
      <c r="D7" s="8">
        <v>4.49</v>
      </c>
      <c r="E7" s="12">
        <v>34</v>
      </c>
      <c r="F7" s="8">
        <v>2.71</v>
      </c>
      <c r="G7" s="12">
        <v>131</v>
      </c>
      <c r="H7" s="8">
        <v>5.46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0.08</v>
      </c>
      <c r="E8" s="12">
        <v>0</v>
      </c>
      <c r="F8" s="8">
        <v>0</v>
      </c>
      <c r="G8" s="12">
        <v>3</v>
      </c>
      <c r="H8" s="8">
        <v>0.12</v>
      </c>
      <c r="I8" s="12">
        <v>0</v>
      </c>
    </row>
    <row r="9" spans="2:9" ht="15" customHeight="1" x14ac:dyDescent="0.2">
      <c r="B9" t="s">
        <v>69</v>
      </c>
      <c r="C9" s="12">
        <v>98</v>
      </c>
      <c r="D9" s="8">
        <v>2.67</v>
      </c>
      <c r="E9" s="12">
        <v>2</v>
      </c>
      <c r="F9" s="8">
        <v>0.16</v>
      </c>
      <c r="G9" s="12">
        <v>96</v>
      </c>
      <c r="H9" s="8">
        <v>4</v>
      </c>
      <c r="I9" s="12">
        <v>0</v>
      </c>
    </row>
    <row r="10" spans="2:9" ht="15" customHeight="1" x14ac:dyDescent="0.2">
      <c r="B10" t="s">
        <v>70</v>
      </c>
      <c r="C10" s="12">
        <v>33</v>
      </c>
      <c r="D10" s="8">
        <v>0.9</v>
      </c>
      <c r="E10" s="12">
        <v>6</v>
      </c>
      <c r="F10" s="8">
        <v>0.48</v>
      </c>
      <c r="G10" s="12">
        <v>27</v>
      </c>
      <c r="H10" s="8">
        <v>1.1200000000000001</v>
      </c>
      <c r="I10" s="12">
        <v>0</v>
      </c>
    </row>
    <row r="11" spans="2:9" ht="15" customHeight="1" x14ac:dyDescent="0.2">
      <c r="B11" t="s">
        <v>71</v>
      </c>
      <c r="C11" s="12">
        <v>784</v>
      </c>
      <c r="D11" s="8">
        <v>21.32</v>
      </c>
      <c r="E11" s="12">
        <v>193</v>
      </c>
      <c r="F11" s="8">
        <v>15.38</v>
      </c>
      <c r="G11" s="12">
        <v>591</v>
      </c>
      <c r="H11" s="8">
        <v>24.61</v>
      </c>
      <c r="I11" s="12">
        <v>0</v>
      </c>
    </row>
    <row r="12" spans="2:9" ht="15" customHeight="1" x14ac:dyDescent="0.2">
      <c r="B12" t="s">
        <v>72</v>
      </c>
      <c r="C12" s="12">
        <v>36</v>
      </c>
      <c r="D12" s="8">
        <v>0.98</v>
      </c>
      <c r="E12" s="12">
        <v>2</v>
      </c>
      <c r="F12" s="8">
        <v>0.16</v>
      </c>
      <c r="G12" s="12">
        <v>34</v>
      </c>
      <c r="H12" s="8">
        <v>1.42</v>
      </c>
      <c r="I12" s="12">
        <v>0</v>
      </c>
    </row>
    <row r="13" spans="2:9" ht="15" customHeight="1" x14ac:dyDescent="0.2">
      <c r="B13" t="s">
        <v>73</v>
      </c>
      <c r="C13" s="12">
        <v>501</v>
      </c>
      <c r="D13" s="8">
        <v>13.63</v>
      </c>
      <c r="E13" s="12">
        <v>82</v>
      </c>
      <c r="F13" s="8">
        <v>6.53</v>
      </c>
      <c r="G13" s="12">
        <v>418</v>
      </c>
      <c r="H13" s="8">
        <v>17.41</v>
      </c>
      <c r="I13" s="12">
        <v>0</v>
      </c>
    </row>
    <row r="14" spans="2:9" ht="15" customHeight="1" x14ac:dyDescent="0.2">
      <c r="B14" t="s">
        <v>74</v>
      </c>
      <c r="C14" s="12">
        <v>312</v>
      </c>
      <c r="D14" s="8">
        <v>8.49</v>
      </c>
      <c r="E14" s="12">
        <v>153</v>
      </c>
      <c r="F14" s="8">
        <v>12.19</v>
      </c>
      <c r="G14" s="12">
        <v>158</v>
      </c>
      <c r="H14" s="8">
        <v>6.58</v>
      </c>
      <c r="I14" s="12">
        <v>1</v>
      </c>
    </row>
    <row r="15" spans="2:9" ht="15" customHeight="1" x14ac:dyDescent="0.2">
      <c r="B15" t="s">
        <v>75</v>
      </c>
      <c r="C15" s="12">
        <v>404</v>
      </c>
      <c r="D15" s="8">
        <v>10.99</v>
      </c>
      <c r="E15" s="12">
        <v>276</v>
      </c>
      <c r="F15" s="8">
        <v>21.99</v>
      </c>
      <c r="G15" s="12">
        <v>128</v>
      </c>
      <c r="H15" s="8">
        <v>5.33</v>
      </c>
      <c r="I15" s="12">
        <v>0</v>
      </c>
    </row>
    <row r="16" spans="2:9" ht="15" customHeight="1" x14ac:dyDescent="0.2">
      <c r="B16" t="s">
        <v>76</v>
      </c>
      <c r="C16" s="12">
        <v>373</v>
      </c>
      <c r="D16" s="8">
        <v>10.14</v>
      </c>
      <c r="E16" s="12">
        <v>235</v>
      </c>
      <c r="F16" s="8">
        <v>18.73</v>
      </c>
      <c r="G16" s="12">
        <v>137</v>
      </c>
      <c r="H16" s="8">
        <v>5.71</v>
      </c>
      <c r="I16" s="12">
        <v>1</v>
      </c>
    </row>
    <row r="17" spans="2:9" ht="15" customHeight="1" x14ac:dyDescent="0.2">
      <c r="B17" t="s">
        <v>77</v>
      </c>
      <c r="C17" s="12">
        <v>145</v>
      </c>
      <c r="D17" s="8">
        <v>3.94</v>
      </c>
      <c r="E17" s="12">
        <v>76</v>
      </c>
      <c r="F17" s="8">
        <v>6.06</v>
      </c>
      <c r="G17" s="12">
        <v>62</v>
      </c>
      <c r="H17" s="8">
        <v>2.58</v>
      </c>
      <c r="I17" s="12">
        <v>1</v>
      </c>
    </row>
    <row r="18" spans="2:9" ht="15" customHeight="1" x14ac:dyDescent="0.2">
      <c r="B18" t="s">
        <v>78</v>
      </c>
      <c r="C18" s="12">
        <v>204</v>
      </c>
      <c r="D18" s="8">
        <v>5.55</v>
      </c>
      <c r="E18" s="12">
        <v>117</v>
      </c>
      <c r="F18" s="8">
        <v>9.32</v>
      </c>
      <c r="G18" s="12">
        <v>82</v>
      </c>
      <c r="H18" s="8">
        <v>3.42</v>
      </c>
      <c r="I18" s="12">
        <v>0</v>
      </c>
    </row>
    <row r="19" spans="2:9" ht="15" customHeight="1" x14ac:dyDescent="0.2">
      <c r="B19" t="s">
        <v>79</v>
      </c>
      <c r="C19" s="12">
        <v>153</v>
      </c>
      <c r="D19" s="8">
        <v>4.16</v>
      </c>
      <c r="E19" s="12">
        <v>22</v>
      </c>
      <c r="F19" s="8">
        <v>1.75</v>
      </c>
      <c r="G19" s="12">
        <v>125</v>
      </c>
      <c r="H19" s="8">
        <v>5.21</v>
      </c>
      <c r="I19" s="12">
        <v>6</v>
      </c>
    </row>
    <row r="20" spans="2:9" ht="15" customHeight="1" x14ac:dyDescent="0.2">
      <c r="B20" s="9" t="s">
        <v>280</v>
      </c>
      <c r="C20" s="12">
        <f>SUM(LTBL_13202[総数／事業所数])</f>
        <v>3677</v>
      </c>
      <c r="E20" s="12">
        <f>SUBTOTAL(109,LTBL_13202[個人／事業所数])</f>
        <v>1255</v>
      </c>
      <c r="G20" s="12">
        <f>SUBTOTAL(109,LTBL_13202[法人／事業所数])</f>
        <v>2401</v>
      </c>
      <c r="I20" s="12">
        <f>SUBTOTAL(109,LTBL_13202[法人以外の団体／事業所数])</f>
        <v>9</v>
      </c>
    </row>
    <row r="21" spans="2:9" ht="15" customHeight="1" x14ac:dyDescent="0.2">
      <c r="E21" s="11">
        <f>LTBL_13202[[#Totals],[個人／事業所数]]/LTBL_13202[[#Totals],[総数／事業所数]]</f>
        <v>0.34131085123742183</v>
      </c>
      <c r="G21" s="11">
        <f>LTBL_13202[[#Totals],[法人／事業所数]]/LTBL_13202[[#Totals],[総数／事業所数]]</f>
        <v>0.65297797117215117</v>
      </c>
      <c r="I21" s="11">
        <f>LTBL_13202[[#Totals],[法人以外の団体／事業所数]]/LTBL_13202[[#Totals],[総数／事業所数]]</f>
        <v>2.4476475387544194E-3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390</v>
      </c>
      <c r="D24" s="8">
        <v>10.61</v>
      </c>
      <c r="E24" s="12">
        <v>76</v>
      </c>
      <c r="F24" s="8">
        <v>6.06</v>
      </c>
      <c r="G24" s="12">
        <v>313</v>
      </c>
      <c r="H24" s="8">
        <v>13.04</v>
      </c>
      <c r="I24" s="12">
        <v>0</v>
      </c>
    </row>
    <row r="25" spans="2:9" ht="15" customHeight="1" x14ac:dyDescent="0.2">
      <c r="B25" t="s">
        <v>103</v>
      </c>
      <c r="C25" s="12">
        <v>374</v>
      </c>
      <c r="D25" s="8">
        <v>10.17</v>
      </c>
      <c r="E25" s="12">
        <v>271</v>
      </c>
      <c r="F25" s="8">
        <v>21.59</v>
      </c>
      <c r="G25" s="12">
        <v>103</v>
      </c>
      <c r="H25" s="8">
        <v>4.29</v>
      </c>
      <c r="I25" s="12">
        <v>0</v>
      </c>
    </row>
    <row r="26" spans="2:9" ht="15" customHeight="1" x14ac:dyDescent="0.2">
      <c r="B26" t="s">
        <v>104</v>
      </c>
      <c r="C26" s="12">
        <v>300</v>
      </c>
      <c r="D26" s="8">
        <v>8.16</v>
      </c>
      <c r="E26" s="12">
        <v>217</v>
      </c>
      <c r="F26" s="8">
        <v>17.29</v>
      </c>
      <c r="G26" s="12">
        <v>83</v>
      </c>
      <c r="H26" s="8">
        <v>3.46</v>
      </c>
      <c r="I26" s="12">
        <v>0</v>
      </c>
    </row>
    <row r="27" spans="2:9" ht="15" customHeight="1" x14ac:dyDescent="0.2">
      <c r="B27" t="s">
        <v>98</v>
      </c>
      <c r="C27" s="12">
        <v>211</v>
      </c>
      <c r="D27" s="8">
        <v>5.74</v>
      </c>
      <c r="E27" s="12">
        <v>61</v>
      </c>
      <c r="F27" s="8">
        <v>4.8600000000000003</v>
      </c>
      <c r="G27" s="12">
        <v>150</v>
      </c>
      <c r="H27" s="8">
        <v>6.25</v>
      </c>
      <c r="I27" s="12">
        <v>0</v>
      </c>
    </row>
    <row r="28" spans="2:9" ht="15" customHeight="1" x14ac:dyDescent="0.2">
      <c r="B28" t="s">
        <v>101</v>
      </c>
      <c r="C28" s="12">
        <v>206</v>
      </c>
      <c r="D28" s="8">
        <v>5.6</v>
      </c>
      <c r="E28" s="12">
        <v>125</v>
      </c>
      <c r="F28" s="8">
        <v>9.9600000000000009</v>
      </c>
      <c r="G28" s="12">
        <v>81</v>
      </c>
      <c r="H28" s="8">
        <v>3.37</v>
      </c>
      <c r="I28" s="12">
        <v>0</v>
      </c>
    </row>
    <row r="29" spans="2:9" ht="15" customHeight="1" x14ac:dyDescent="0.2">
      <c r="B29" t="s">
        <v>88</v>
      </c>
      <c r="C29" s="12">
        <v>182</v>
      </c>
      <c r="D29" s="8">
        <v>4.95</v>
      </c>
      <c r="E29" s="12">
        <v>18</v>
      </c>
      <c r="F29" s="8">
        <v>1.43</v>
      </c>
      <c r="G29" s="12">
        <v>164</v>
      </c>
      <c r="H29" s="8">
        <v>6.83</v>
      </c>
      <c r="I29" s="12">
        <v>0</v>
      </c>
    </row>
    <row r="30" spans="2:9" ht="15" customHeight="1" x14ac:dyDescent="0.2">
      <c r="B30" t="s">
        <v>106</v>
      </c>
      <c r="C30" s="12">
        <v>149</v>
      </c>
      <c r="D30" s="8">
        <v>4.05</v>
      </c>
      <c r="E30" s="12">
        <v>115</v>
      </c>
      <c r="F30" s="8">
        <v>9.16</v>
      </c>
      <c r="G30" s="12">
        <v>34</v>
      </c>
      <c r="H30" s="8">
        <v>1.42</v>
      </c>
      <c r="I30" s="12">
        <v>0</v>
      </c>
    </row>
    <row r="31" spans="2:9" ht="15" customHeight="1" x14ac:dyDescent="0.2">
      <c r="B31" t="s">
        <v>96</v>
      </c>
      <c r="C31" s="12">
        <v>145</v>
      </c>
      <c r="D31" s="8">
        <v>3.94</v>
      </c>
      <c r="E31" s="12">
        <v>52</v>
      </c>
      <c r="F31" s="8">
        <v>4.1399999999999997</v>
      </c>
      <c r="G31" s="12">
        <v>93</v>
      </c>
      <c r="H31" s="8">
        <v>3.87</v>
      </c>
      <c r="I31" s="12">
        <v>0</v>
      </c>
    </row>
    <row r="32" spans="2:9" ht="15" customHeight="1" x14ac:dyDescent="0.2">
      <c r="B32" t="s">
        <v>105</v>
      </c>
      <c r="C32" s="12">
        <v>145</v>
      </c>
      <c r="D32" s="8">
        <v>3.94</v>
      </c>
      <c r="E32" s="12">
        <v>76</v>
      </c>
      <c r="F32" s="8">
        <v>6.06</v>
      </c>
      <c r="G32" s="12">
        <v>62</v>
      </c>
      <c r="H32" s="8">
        <v>2.58</v>
      </c>
      <c r="I32" s="12">
        <v>1</v>
      </c>
    </row>
    <row r="33" spans="2:9" ht="15" customHeight="1" x14ac:dyDescent="0.2">
      <c r="B33" t="s">
        <v>89</v>
      </c>
      <c r="C33" s="12">
        <v>143</v>
      </c>
      <c r="D33" s="8">
        <v>3.89</v>
      </c>
      <c r="E33" s="12">
        <v>25</v>
      </c>
      <c r="F33" s="8">
        <v>1.99</v>
      </c>
      <c r="G33" s="12">
        <v>118</v>
      </c>
      <c r="H33" s="8">
        <v>4.91</v>
      </c>
      <c r="I33" s="12">
        <v>0</v>
      </c>
    </row>
    <row r="34" spans="2:9" ht="15" customHeight="1" x14ac:dyDescent="0.2">
      <c r="B34" t="s">
        <v>90</v>
      </c>
      <c r="C34" s="12">
        <v>140</v>
      </c>
      <c r="D34" s="8">
        <v>3.81</v>
      </c>
      <c r="E34" s="12">
        <v>14</v>
      </c>
      <c r="F34" s="8">
        <v>1.1200000000000001</v>
      </c>
      <c r="G34" s="12">
        <v>126</v>
      </c>
      <c r="H34" s="8">
        <v>5.25</v>
      </c>
      <c r="I34" s="12">
        <v>0</v>
      </c>
    </row>
    <row r="35" spans="2:9" ht="15" customHeight="1" x14ac:dyDescent="0.2">
      <c r="B35" t="s">
        <v>95</v>
      </c>
      <c r="C35" s="12">
        <v>118</v>
      </c>
      <c r="D35" s="8">
        <v>3.21</v>
      </c>
      <c r="E35" s="12">
        <v>18</v>
      </c>
      <c r="F35" s="8">
        <v>1.43</v>
      </c>
      <c r="G35" s="12">
        <v>100</v>
      </c>
      <c r="H35" s="8">
        <v>4.16</v>
      </c>
      <c r="I35" s="12">
        <v>0</v>
      </c>
    </row>
    <row r="36" spans="2:9" ht="15" customHeight="1" x14ac:dyDescent="0.2">
      <c r="B36" t="s">
        <v>102</v>
      </c>
      <c r="C36" s="12">
        <v>89</v>
      </c>
      <c r="D36" s="8">
        <v>2.42</v>
      </c>
      <c r="E36" s="12">
        <v>28</v>
      </c>
      <c r="F36" s="8">
        <v>2.23</v>
      </c>
      <c r="G36" s="12">
        <v>61</v>
      </c>
      <c r="H36" s="8">
        <v>2.54</v>
      </c>
      <c r="I36" s="12">
        <v>0</v>
      </c>
    </row>
    <row r="37" spans="2:9" ht="15" customHeight="1" x14ac:dyDescent="0.2">
      <c r="B37" t="s">
        <v>99</v>
      </c>
      <c r="C37" s="12">
        <v>88</v>
      </c>
      <c r="D37" s="8">
        <v>2.39</v>
      </c>
      <c r="E37" s="12">
        <v>5</v>
      </c>
      <c r="F37" s="8">
        <v>0.4</v>
      </c>
      <c r="G37" s="12">
        <v>83</v>
      </c>
      <c r="H37" s="8">
        <v>3.46</v>
      </c>
      <c r="I37" s="12">
        <v>0</v>
      </c>
    </row>
    <row r="38" spans="2:9" ht="15" customHeight="1" x14ac:dyDescent="0.2">
      <c r="B38" t="s">
        <v>107</v>
      </c>
      <c r="C38" s="12">
        <v>80</v>
      </c>
      <c r="D38" s="8">
        <v>2.1800000000000002</v>
      </c>
      <c r="E38" s="12">
        <v>1</v>
      </c>
      <c r="F38" s="8">
        <v>0.08</v>
      </c>
      <c r="G38" s="12">
        <v>76</v>
      </c>
      <c r="H38" s="8">
        <v>3.17</v>
      </c>
      <c r="I38" s="12">
        <v>3</v>
      </c>
    </row>
    <row r="39" spans="2:9" ht="15" customHeight="1" x14ac:dyDescent="0.2">
      <c r="B39" t="s">
        <v>93</v>
      </c>
      <c r="C39" s="12">
        <v>76</v>
      </c>
      <c r="D39" s="8">
        <v>2.0699999999999998</v>
      </c>
      <c r="E39" s="12">
        <v>2</v>
      </c>
      <c r="F39" s="8">
        <v>0.16</v>
      </c>
      <c r="G39" s="12">
        <v>74</v>
      </c>
      <c r="H39" s="8">
        <v>3.08</v>
      </c>
      <c r="I39" s="12">
        <v>0</v>
      </c>
    </row>
    <row r="40" spans="2:9" ht="15" customHeight="1" x14ac:dyDescent="0.2">
      <c r="B40" t="s">
        <v>97</v>
      </c>
      <c r="C40" s="12">
        <v>73</v>
      </c>
      <c r="D40" s="8">
        <v>1.99</v>
      </c>
      <c r="E40" s="12">
        <v>32</v>
      </c>
      <c r="F40" s="8">
        <v>2.5499999999999998</v>
      </c>
      <c r="G40" s="12">
        <v>41</v>
      </c>
      <c r="H40" s="8">
        <v>1.71</v>
      </c>
      <c r="I40" s="12">
        <v>0</v>
      </c>
    </row>
    <row r="41" spans="2:9" ht="15" customHeight="1" x14ac:dyDescent="0.2">
      <c r="B41" t="s">
        <v>91</v>
      </c>
      <c r="C41" s="12">
        <v>58</v>
      </c>
      <c r="D41" s="8">
        <v>1.58</v>
      </c>
      <c r="E41" s="12">
        <v>1</v>
      </c>
      <c r="F41" s="8">
        <v>0.08</v>
      </c>
      <c r="G41" s="12">
        <v>57</v>
      </c>
      <c r="H41" s="8">
        <v>2.37</v>
      </c>
      <c r="I41" s="12">
        <v>0</v>
      </c>
    </row>
    <row r="42" spans="2:9" ht="15" customHeight="1" x14ac:dyDescent="0.2">
      <c r="B42" t="s">
        <v>132</v>
      </c>
      <c r="C42" s="12">
        <v>55</v>
      </c>
      <c r="D42" s="8">
        <v>1.5</v>
      </c>
      <c r="E42" s="12">
        <v>2</v>
      </c>
      <c r="F42" s="8">
        <v>0.16</v>
      </c>
      <c r="G42" s="12">
        <v>48</v>
      </c>
      <c r="H42" s="8">
        <v>2</v>
      </c>
      <c r="I42" s="12">
        <v>0</v>
      </c>
    </row>
    <row r="43" spans="2:9" ht="15" customHeight="1" x14ac:dyDescent="0.2">
      <c r="B43" t="s">
        <v>94</v>
      </c>
      <c r="C43" s="12">
        <v>54</v>
      </c>
      <c r="D43" s="8">
        <v>1.47</v>
      </c>
      <c r="E43" s="12">
        <v>10</v>
      </c>
      <c r="F43" s="8">
        <v>0.8</v>
      </c>
      <c r="G43" s="12">
        <v>44</v>
      </c>
      <c r="H43" s="8">
        <v>1.83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166</v>
      </c>
      <c r="D47" s="8">
        <v>4.51</v>
      </c>
      <c r="E47" s="12">
        <v>48</v>
      </c>
      <c r="F47" s="8">
        <v>3.82</v>
      </c>
      <c r="G47" s="12">
        <v>118</v>
      </c>
      <c r="H47" s="8">
        <v>4.91</v>
      </c>
      <c r="I47" s="12">
        <v>0</v>
      </c>
    </row>
    <row r="48" spans="2:9" ht="15" customHeight="1" x14ac:dyDescent="0.2">
      <c r="B48" t="s">
        <v>172</v>
      </c>
      <c r="C48" s="12">
        <v>136</v>
      </c>
      <c r="D48" s="8">
        <v>3.7</v>
      </c>
      <c r="E48" s="12">
        <v>106</v>
      </c>
      <c r="F48" s="8">
        <v>8.4499999999999993</v>
      </c>
      <c r="G48" s="12">
        <v>30</v>
      </c>
      <c r="H48" s="8">
        <v>1.25</v>
      </c>
      <c r="I48" s="12">
        <v>0</v>
      </c>
    </row>
    <row r="49" spans="2:9" ht="15" customHeight="1" x14ac:dyDescent="0.2">
      <c r="B49" t="s">
        <v>161</v>
      </c>
      <c r="C49" s="12">
        <v>117</v>
      </c>
      <c r="D49" s="8">
        <v>3.18</v>
      </c>
      <c r="E49" s="12">
        <v>8</v>
      </c>
      <c r="F49" s="8">
        <v>0.64</v>
      </c>
      <c r="G49" s="12">
        <v>109</v>
      </c>
      <c r="H49" s="8">
        <v>4.54</v>
      </c>
      <c r="I49" s="12">
        <v>0</v>
      </c>
    </row>
    <row r="50" spans="2:9" ht="15" customHeight="1" x14ac:dyDescent="0.2">
      <c r="B50" t="s">
        <v>169</v>
      </c>
      <c r="C50" s="12">
        <v>110</v>
      </c>
      <c r="D50" s="8">
        <v>2.99</v>
      </c>
      <c r="E50" s="12">
        <v>93</v>
      </c>
      <c r="F50" s="8">
        <v>7.41</v>
      </c>
      <c r="G50" s="12">
        <v>17</v>
      </c>
      <c r="H50" s="8">
        <v>0.71</v>
      </c>
      <c r="I50" s="12">
        <v>0</v>
      </c>
    </row>
    <row r="51" spans="2:9" ht="15" customHeight="1" x14ac:dyDescent="0.2">
      <c r="B51" t="s">
        <v>175</v>
      </c>
      <c r="C51" s="12">
        <v>106</v>
      </c>
      <c r="D51" s="8">
        <v>2.88</v>
      </c>
      <c r="E51" s="12">
        <v>80</v>
      </c>
      <c r="F51" s="8">
        <v>6.37</v>
      </c>
      <c r="G51" s="12">
        <v>26</v>
      </c>
      <c r="H51" s="8">
        <v>1.08</v>
      </c>
      <c r="I51" s="12">
        <v>0</v>
      </c>
    </row>
    <row r="52" spans="2:9" ht="15" customHeight="1" x14ac:dyDescent="0.2">
      <c r="B52" t="s">
        <v>168</v>
      </c>
      <c r="C52" s="12">
        <v>95</v>
      </c>
      <c r="D52" s="8">
        <v>2.58</v>
      </c>
      <c r="E52" s="12">
        <v>64</v>
      </c>
      <c r="F52" s="8">
        <v>5.0999999999999996</v>
      </c>
      <c r="G52" s="12">
        <v>31</v>
      </c>
      <c r="H52" s="8">
        <v>1.29</v>
      </c>
      <c r="I52" s="12">
        <v>0</v>
      </c>
    </row>
    <row r="53" spans="2:9" ht="15" customHeight="1" x14ac:dyDescent="0.2">
      <c r="B53" t="s">
        <v>173</v>
      </c>
      <c r="C53" s="12">
        <v>95</v>
      </c>
      <c r="D53" s="8">
        <v>2.58</v>
      </c>
      <c r="E53" s="12">
        <v>60</v>
      </c>
      <c r="F53" s="8">
        <v>4.78</v>
      </c>
      <c r="G53" s="12">
        <v>35</v>
      </c>
      <c r="H53" s="8">
        <v>1.46</v>
      </c>
      <c r="I53" s="12">
        <v>0</v>
      </c>
    </row>
    <row r="54" spans="2:9" ht="15" customHeight="1" x14ac:dyDescent="0.2">
      <c r="B54" t="s">
        <v>163</v>
      </c>
      <c r="C54" s="12">
        <v>80</v>
      </c>
      <c r="D54" s="8">
        <v>2.1800000000000002</v>
      </c>
      <c r="E54" s="12">
        <v>2</v>
      </c>
      <c r="F54" s="8">
        <v>0.16</v>
      </c>
      <c r="G54" s="12">
        <v>77</v>
      </c>
      <c r="H54" s="8">
        <v>3.21</v>
      </c>
      <c r="I54" s="12">
        <v>0</v>
      </c>
    </row>
    <row r="55" spans="2:9" ht="15" customHeight="1" x14ac:dyDescent="0.2">
      <c r="B55" t="s">
        <v>170</v>
      </c>
      <c r="C55" s="12">
        <v>79</v>
      </c>
      <c r="D55" s="8">
        <v>2.15</v>
      </c>
      <c r="E55" s="12">
        <v>62</v>
      </c>
      <c r="F55" s="8">
        <v>4.9400000000000004</v>
      </c>
      <c r="G55" s="12">
        <v>17</v>
      </c>
      <c r="H55" s="8">
        <v>0.71</v>
      </c>
      <c r="I55" s="12">
        <v>0</v>
      </c>
    </row>
    <row r="56" spans="2:9" ht="15" customHeight="1" x14ac:dyDescent="0.2">
      <c r="B56" t="s">
        <v>171</v>
      </c>
      <c r="C56" s="12">
        <v>78</v>
      </c>
      <c r="D56" s="8">
        <v>2.12</v>
      </c>
      <c r="E56" s="12">
        <v>68</v>
      </c>
      <c r="F56" s="8">
        <v>5.42</v>
      </c>
      <c r="G56" s="12">
        <v>10</v>
      </c>
      <c r="H56" s="8">
        <v>0.42</v>
      </c>
      <c r="I56" s="12">
        <v>0</v>
      </c>
    </row>
    <row r="57" spans="2:9" ht="15" customHeight="1" x14ac:dyDescent="0.2">
      <c r="B57" t="s">
        <v>159</v>
      </c>
      <c r="C57" s="12">
        <v>72</v>
      </c>
      <c r="D57" s="8">
        <v>1.96</v>
      </c>
      <c r="E57" s="12">
        <v>26</v>
      </c>
      <c r="F57" s="8">
        <v>2.0699999999999998</v>
      </c>
      <c r="G57" s="12">
        <v>46</v>
      </c>
      <c r="H57" s="8">
        <v>1.92</v>
      </c>
      <c r="I57" s="12">
        <v>0</v>
      </c>
    </row>
    <row r="58" spans="2:9" ht="15" customHeight="1" x14ac:dyDescent="0.2">
      <c r="B58" t="s">
        <v>160</v>
      </c>
      <c r="C58" s="12">
        <v>67</v>
      </c>
      <c r="D58" s="8">
        <v>1.82</v>
      </c>
      <c r="E58" s="12">
        <v>5</v>
      </c>
      <c r="F58" s="8">
        <v>0.4</v>
      </c>
      <c r="G58" s="12">
        <v>62</v>
      </c>
      <c r="H58" s="8">
        <v>2.58</v>
      </c>
      <c r="I58" s="12">
        <v>0</v>
      </c>
    </row>
    <row r="59" spans="2:9" ht="15" customHeight="1" x14ac:dyDescent="0.2">
      <c r="B59" t="s">
        <v>206</v>
      </c>
      <c r="C59" s="12">
        <v>65</v>
      </c>
      <c r="D59" s="8">
        <v>1.77</v>
      </c>
      <c r="E59" s="12">
        <v>2</v>
      </c>
      <c r="F59" s="8">
        <v>0.16</v>
      </c>
      <c r="G59" s="12">
        <v>63</v>
      </c>
      <c r="H59" s="8">
        <v>2.62</v>
      </c>
      <c r="I59" s="12">
        <v>0</v>
      </c>
    </row>
    <row r="60" spans="2:9" ht="15" customHeight="1" x14ac:dyDescent="0.2">
      <c r="B60" t="s">
        <v>158</v>
      </c>
      <c r="C60" s="12">
        <v>65</v>
      </c>
      <c r="D60" s="8">
        <v>1.77</v>
      </c>
      <c r="E60" s="12">
        <v>26</v>
      </c>
      <c r="F60" s="8">
        <v>2.0699999999999998</v>
      </c>
      <c r="G60" s="12">
        <v>39</v>
      </c>
      <c r="H60" s="8">
        <v>1.62</v>
      </c>
      <c r="I60" s="12">
        <v>0</v>
      </c>
    </row>
    <row r="61" spans="2:9" ht="15" customHeight="1" x14ac:dyDescent="0.2">
      <c r="B61" t="s">
        <v>201</v>
      </c>
      <c r="C61" s="12">
        <v>57</v>
      </c>
      <c r="D61" s="8">
        <v>1.55</v>
      </c>
      <c r="E61" s="12">
        <v>4</v>
      </c>
      <c r="F61" s="8">
        <v>0.32</v>
      </c>
      <c r="G61" s="12">
        <v>53</v>
      </c>
      <c r="H61" s="8">
        <v>2.21</v>
      </c>
      <c r="I61" s="12">
        <v>0</v>
      </c>
    </row>
    <row r="62" spans="2:9" ht="15" customHeight="1" x14ac:dyDescent="0.2">
      <c r="B62" t="s">
        <v>192</v>
      </c>
      <c r="C62" s="12">
        <v>55</v>
      </c>
      <c r="D62" s="8">
        <v>1.5</v>
      </c>
      <c r="E62" s="12">
        <v>10</v>
      </c>
      <c r="F62" s="8">
        <v>0.8</v>
      </c>
      <c r="G62" s="12">
        <v>45</v>
      </c>
      <c r="H62" s="8">
        <v>1.87</v>
      </c>
      <c r="I62" s="12">
        <v>0</v>
      </c>
    </row>
    <row r="63" spans="2:9" ht="15" customHeight="1" x14ac:dyDescent="0.2">
      <c r="B63" t="s">
        <v>176</v>
      </c>
      <c r="C63" s="12">
        <v>54</v>
      </c>
      <c r="D63" s="8">
        <v>1.47</v>
      </c>
      <c r="E63" s="12">
        <v>1</v>
      </c>
      <c r="F63" s="8">
        <v>0.08</v>
      </c>
      <c r="G63" s="12">
        <v>50</v>
      </c>
      <c r="H63" s="8">
        <v>2.08</v>
      </c>
      <c r="I63" s="12">
        <v>3</v>
      </c>
    </row>
    <row r="64" spans="2:9" ht="15" customHeight="1" x14ac:dyDescent="0.2">
      <c r="B64" t="s">
        <v>157</v>
      </c>
      <c r="C64" s="12">
        <v>53</v>
      </c>
      <c r="D64" s="8">
        <v>1.44</v>
      </c>
      <c r="E64" s="12">
        <v>1</v>
      </c>
      <c r="F64" s="8">
        <v>0.08</v>
      </c>
      <c r="G64" s="12">
        <v>52</v>
      </c>
      <c r="H64" s="8">
        <v>2.17</v>
      </c>
      <c r="I64" s="12">
        <v>0</v>
      </c>
    </row>
    <row r="65" spans="2:9" ht="15" customHeight="1" x14ac:dyDescent="0.2">
      <c r="B65" t="s">
        <v>167</v>
      </c>
      <c r="C65" s="12">
        <v>52</v>
      </c>
      <c r="D65" s="8">
        <v>1.41</v>
      </c>
      <c r="E65" s="12">
        <v>15</v>
      </c>
      <c r="F65" s="8">
        <v>1.2</v>
      </c>
      <c r="G65" s="12">
        <v>37</v>
      </c>
      <c r="H65" s="8">
        <v>1.54</v>
      </c>
      <c r="I65" s="12">
        <v>0</v>
      </c>
    </row>
    <row r="66" spans="2:9" ht="15" customHeight="1" x14ac:dyDescent="0.2">
      <c r="B66" t="s">
        <v>164</v>
      </c>
      <c r="C66" s="12">
        <v>51</v>
      </c>
      <c r="D66" s="8">
        <v>1.39</v>
      </c>
      <c r="E66" s="12">
        <v>46</v>
      </c>
      <c r="F66" s="8">
        <v>3.67</v>
      </c>
      <c r="G66" s="12">
        <v>5</v>
      </c>
      <c r="H66" s="8">
        <v>0.21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FA4D-4449-4AFE-BB97-828CB4CC97D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212</v>
      </c>
      <c r="D6" s="8">
        <v>5</v>
      </c>
      <c r="E6" s="12">
        <v>31</v>
      </c>
      <c r="F6" s="8">
        <v>1.87</v>
      </c>
      <c r="G6" s="12">
        <v>181</v>
      </c>
      <c r="H6" s="8">
        <v>7.01</v>
      </c>
      <c r="I6" s="12">
        <v>0</v>
      </c>
    </row>
    <row r="7" spans="2:9" ht="15" customHeight="1" x14ac:dyDescent="0.2">
      <c r="B7" t="s">
        <v>67</v>
      </c>
      <c r="C7" s="12">
        <v>89</v>
      </c>
      <c r="D7" s="8">
        <v>2.1</v>
      </c>
      <c r="E7" s="12">
        <v>19</v>
      </c>
      <c r="F7" s="8">
        <v>1.1499999999999999</v>
      </c>
      <c r="G7" s="12">
        <v>70</v>
      </c>
      <c r="H7" s="8">
        <v>2.71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0.08</v>
      </c>
      <c r="I8" s="12">
        <v>0</v>
      </c>
    </row>
    <row r="9" spans="2:9" ht="15" customHeight="1" x14ac:dyDescent="0.2">
      <c r="B9" t="s">
        <v>69</v>
      </c>
      <c r="C9" s="12">
        <v>163</v>
      </c>
      <c r="D9" s="8">
        <v>3.84</v>
      </c>
      <c r="E9" s="12">
        <v>8</v>
      </c>
      <c r="F9" s="8">
        <v>0.48</v>
      </c>
      <c r="G9" s="12">
        <v>154</v>
      </c>
      <c r="H9" s="8">
        <v>5.96</v>
      </c>
      <c r="I9" s="12">
        <v>1</v>
      </c>
    </row>
    <row r="10" spans="2:9" ht="15" customHeight="1" x14ac:dyDescent="0.2">
      <c r="B10" t="s">
        <v>70</v>
      </c>
      <c r="C10" s="12">
        <v>14</v>
      </c>
      <c r="D10" s="8">
        <v>0.33</v>
      </c>
      <c r="E10" s="12">
        <v>3</v>
      </c>
      <c r="F10" s="8">
        <v>0.18</v>
      </c>
      <c r="G10" s="12">
        <v>11</v>
      </c>
      <c r="H10" s="8">
        <v>0.43</v>
      </c>
      <c r="I10" s="12">
        <v>0</v>
      </c>
    </row>
    <row r="11" spans="2:9" ht="15" customHeight="1" x14ac:dyDescent="0.2">
      <c r="B11" t="s">
        <v>71</v>
      </c>
      <c r="C11" s="12">
        <v>898</v>
      </c>
      <c r="D11" s="8">
        <v>21.16</v>
      </c>
      <c r="E11" s="12">
        <v>270</v>
      </c>
      <c r="F11" s="8">
        <v>16.3</v>
      </c>
      <c r="G11" s="12">
        <v>628</v>
      </c>
      <c r="H11" s="8">
        <v>24.31</v>
      </c>
      <c r="I11" s="12">
        <v>0</v>
      </c>
    </row>
    <row r="12" spans="2:9" ht="15" customHeight="1" x14ac:dyDescent="0.2">
      <c r="B12" t="s">
        <v>72</v>
      </c>
      <c r="C12" s="12">
        <v>23</v>
      </c>
      <c r="D12" s="8">
        <v>0.54</v>
      </c>
      <c r="E12" s="12">
        <v>3</v>
      </c>
      <c r="F12" s="8">
        <v>0.18</v>
      </c>
      <c r="G12" s="12">
        <v>20</v>
      </c>
      <c r="H12" s="8">
        <v>0.77</v>
      </c>
      <c r="I12" s="12">
        <v>0</v>
      </c>
    </row>
    <row r="13" spans="2:9" ht="15" customHeight="1" x14ac:dyDescent="0.2">
      <c r="B13" t="s">
        <v>73</v>
      </c>
      <c r="C13" s="12">
        <v>878</v>
      </c>
      <c r="D13" s="8">
        <v>20.69</v>
      </c>
      <c r="E13" s="12">
        <v>234</v>
      </c>
      <c r="F13" s="8">
        <v>14.13</v>
      </c>
      <c r="G13" s="12">
        <v>644</v>
      </c>
      <c r="H13" s="8">
        <v>24.93</v>
      </c>
      <c r="I13" s="12">
        <v>0</v>
      </c>
    </row>
    <row r="14" spans="2:9" ht="15" customHeight="1" x14ac:dyDescent="0.2">
      <c r="B14" t="s">
        <v>74</v>
      </c>
      <c r="C14" s="12">
        <v>392</v>
      </c>
      <c r="D14" s="8">
        <v>9.24</v>
      </c>
      <c r="E14" s="12">
        <v>172</v>
      </c>
      <c r="F14" s="8">
        <v>10.39</v>
      </c>
      <c r="G14" s="12">
        <v>218</v>
      </c>
      <c r="H14" s="8">
        <v>8.44</v>
      </c>
      <c r="I14" s="12">
        <v>2</v>
      </c>
    </row>
    <row r="15" spans="2:9" ht="15" customHeight="1" x14ac:dyDescent="0.2">
      <c r="B15" t="s">
        <v>75</v>
      </c>
      <c r="C15" s="12">
        <v>526</v>
      </c>
      <c r="D15" s="8">
        <v>12.39</v>
      </c>
      <c r="E15" s="12">
        <v>336</v>
      </c>
      <c r="F15" s="8">
        <v>20.29</v>
      </c>
      <c r="G15" s="12">
        <v>189</v>
      </c>
      <c r="H15" s="8">
        <v>7.32</v>
      </c>
      <c r="I15" s="12">
        <v>1</v>
      </c>
    </row>
    <row r="16" spans="2:9" ht="15" customHeight="1" x14ac:dyDescent="0.2">
      <c r="B16" t="s">
        <v>76</v>
      </c>
      <c r="C16" s="12">
        <v>476</v>
      </c>
      <c r="D16" s="8">
        <v>11.22</v>
      </c>
      <c r="E16" s="12">
        <v>295</v>
      </c>
      <c r="F16" s="8">
        <v>17.809999999999999</v>
      </c>
      <c r="G16" s="12">
        <v>181</v>
      </c>
      <c r="H16" s="8">
        <v>7.01</v>
      </c>
      <c r="I16" s="12">
        <v>0</v>
      </c>
    </row>
    <row r="17" spans="2:9" ht="15" customHeight="1" x14ac:dyDescent="0.2">
      <c r="B17" t="s">
        <v>77</v>
      </c>
      <c r="C17" s="12">
        <v>209</v>
      </c>
      <c r="D17" s="8">
        <v>4.92</v>
      </c>
      <c r="E17" s="12">
        <v>108</v>
      </c>
      <c r="F17" s="8">
        <v>6.52</v>
      </c>
      <c r="G17" s="12">
        <v>101</v>
      </c>
      <c r="H17" s="8">
        <v>3.91</v>
      </c>
      <c r="I17" s="12">
        <v>0</v>
      </c>
    </row>
    <row r="18" spans="2:9" ht="15" customHeight="1" x14ac:dyDescent="0.2">
      <c r="B18" t="s">
        <v>78</v>
      </c>
      <c r="C18" s="12">
        <v>261</v>
      </c>
      <c r="D18" s="8">
        <v>6.15</v>
      </c>
      <c r="E18" s="12">
        <v>166</v>
      </c>
      <c r="F18" s="8">
        <v>10.02</v>
      </c>
      <c r="G18" s="12">
        <v>95</v>
      </c>
      <c r="H18" s="8">
        <v>3.68</v>
      </c>
      <c r="I18" s="12">
        <v>0</v>
      </c>
    </row>
    <row r="19" spans="2:9" ht="15" customHeight="1" x14ac:dyDescent="0.2">
      <c r="B19" t="s">
        <v>79</v>
      </c>
      <c r="C19" s="12">
        <v>101</v>
      </c>
      <c r="D19" s="8">
        <v>2.38</v>
      </c>
      <c r="E19" s="12">
        <v>11</v>
      </c>
      <c r="F19" s="8">
        <v>0.66</v>
      </c>
      <c r="G19" s="12">
        <v>89</v>
      </c>
      <c r="H19" s="8">
        <v>3.45</v>
      </c>
      <c r="I19" s="12">
        <v>1</v>
      </c>
    </row>
    <row r="20" spans="2:9" ht="15" customHeight="1" x14ac:dyDescent="0.2">
      <c r="B20" s="9" t="s">
        <v>280</v>
      </c>
      <c r="C20" s="12">
        <f>SUM(LTBL_13203[総数／事業所数])</f>
        <v>4244</v>
      </c>
      <c r="E20" s="12">
        <f>SUBTOTAL(109,LTBL_13203[個人／事業所数])</f>
        <v>1656</v>
      </c>
      <c r="G20" s="12">
        <f>SUBTOTAL(109,LTBL_13203[法人／事業所数])</f>
        <v>2583</v>
      </c>
      <c r="I20" s="12">
        <f>SUBTOTAL(109,LTBL_13203[法人以外の団体／事業所数])</f>
        <v>5</v>
      </c>
    </row>
    <row r="21" spans="2:9" ht="15" customHeight="1" x14ac:dyDescent="0.2">
      <c r="E21" s="11">
        <f>LTBL_13203[[#Totals],[個人／事業所数]]/LTBL_13203[[#Totals],[総数／事業所数]]</f>
        <v>0.39019792648444862</v>
      </c>
      <c r="G21" s="11">
        <f>LTBL_13203[[#Totals],[法人／事業所数]]/LTBL_13203[[#Totals],[総数／事業所数]]</f>
        <v>0.60862393967954764</v>
      </c>
      <c r="I21" s="11">
        <f>LTBL_13203[[#Totals],[法人以外の団体／事業所数]]/LTBL_13203[[#Totals],[総数／事業所数]]</f>
        <v>1.1781338360037699E-3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722</v>
      </c>
      <c r="D24" s="8">
        <v>17.010000000000002</v>
      </c>
      <c r="E24" s="12">
        <v>231</v>
      </c>
      <c r="F24" s="8">
        <v>13.95</v>
      </c>
      <c r="G24" s="12">
        <v>491</v>
      </c>
      <c r="H24" s="8">
        <v>19.010000000000002</v>
      </c>
      <c r="I24" s="12">
        <v>0</v>
      </c>
    </row>
    <row r="25" spans="2:9" ht="15" customHeight="1" x14ac:dyDescent="0.2">
      <c r="B25" t="s">
        <v>103</v>
      </c>
      <c r="C25" s="12">
        <v>489</v>
      </c>
      <c r="D25" s="8">
        <v>11.52</v>
      </c>
      <c r="E25" s="12">
        <v>327</v>
      </c>
      <c r="F25" s="8">
        <v>19.75</v>
      </c>
      <c r="G25" s="12">
        <v>161</v>
      </c>
      <c r="H25" s="8">
        <v>6.23</v>
      </c>
      <c r="I25" s="12">
        <v>1</v>
      </c>
    </row>
    <row r="26" spans="2:9" ht="15" customHeight="1" x14ac:dyDescent="0.2">
      <c r="B26" t="s">
        <v>104</v>
      </c>
      <c r="C26" s="12">
        <v>385</v>
      </c>
      <c r="D26" s="8">
        <v>9.07</v>
      </c>
      <c r="E26" s="12">
        <v>264</v>
      </c>
      <c r="F26" s="8">
        <v>15.94</v>
      </c>
      <c r="G26" s="12">
        <v>121</v>
      </c>
      <c r="H26" s="8">
        <v>4.68</v>
      </c>
      <c r="I26" s="12">
        <v>0</v>
      </c>
    </row>
    <row r="27" spans="2:9" ht="15" customHeight="1" x14ac:dyDescent="0.2">
      <c r="B27" t="s">
        <v>98</v>
      </c>
      <c r="C27" s="12">
        <v>325</v>
      </c>
      <c r="D27" s="8">
        <v>7.66</v>
      </c>
      <c r="E27" s="12">
        <v>129</v>
      </c>
      <c r="F27" s="8">
        <v>7.79</v>
      </c>
      <c r="G27" s="12">
        <v>196</v>
      </c>
      <c r="H27" s="8">
        <v>7.59</v>
      </c>
      <c r="I27" s="12">
        <v>0</v>
      </c>
    </row>
    <row r="28" spans="2:9" ht="15" customHeight="1" x14ac:dyDescent="0.2">
      <c r="B28" t="s">
        <v>101</v>
      </c>
      <c r="C28" s="12">
        <v>296</v>
      </c>
      <c r="D28" s="8">
        <v>6.97</v>
      </c>
      <c r="E28" s="12">
        <v>146</v>
      </c>
      <c r="F28" s="8">
        <v>8.82</v>
      </c>
      <c r="G28" s="12">
        <v>149</v>
      </c>
      <c r="H28" s="8">
        <v>5.77</v>
      </c>
      <c r="I28" s="12">
        <v>1</v>
      </c>
    </row>
    <row r="29" spans="2:9" ht="15" customHeight="1" x14ac:dyDescent="0.2">
      <c r="B29" t="s">
        <v>106</v>
      </c>
      <c r="C29" s="12">
        <v>217</v>
      </c>
      <c r="D29" s="8">
        <v>5.1100000000000003</v>
      </c>
      <c r="E29" s="12">
        <v>166</v>
      </c>
      <c r="F29" s="8">
        <v>10.02</v>
      </c>
      <c r="G29" s="12">
        <v>51</v>
      </c>
      <c r="H29" s="8">
        <v>1.97</v>
      </c>
      <c r="I29" s="12">
        <v>0</v>
      </c>
    </row>
    <row r="30" spans="2:9" ht="15" customHeight="1" x14ac:dyDescent="0.2">
      <c r="B30" t="s">
        <v>105</v>
      </c>
      <c r="C30" s="12">
        <v>209</v>
      </c>
      <c r="D30" s="8">
        <v>4.92</v>
      </c>
      <c r="E30" s="12">
        <v>108</v>
      </c>
      <c r="F30" s="8">
        <v>6.52</v>
      </c>
      <c r="G30" s="12">
        <v>101</v>
      </c>
      <c r="H30" s="8">
        <v>3.91</v>
      </c>
      <c r="I30" s="12">
        <v>0</v>
      </c>
    </row>
    <row r="31" spans="2:9" ht="15" customHeight="1" x14ac:dyDescent="0.2">
      <c r="B31" t="s">
        <v>95</v>
      </c>
      <c r="C31" s="12">
        <v>196</v>
      </c>
      <c r="D31" s="8">
        <v>4.62</v>
      </c>
      <c r="E31" s="12">
        <v>50</v>
      </c>
      <c r="F31" s="8">
        <v>3.02</v>
      </c>
      <c r="G31" s="12">
        <v>146</v>
      </c>
      <c r="H31" s="8">
        <v>5.65</v>
      </c>
      <c r="I31" s="12">
        <v>0</v>
      </c>
    </row>
    <row r="32" spans="2:9" ht="15" customHeight="1" x14ac:dyDescent="0.2">
      <c r="B32" t="s">
        <v>99</v>
      </c>
      <c r="C32" s="12">
        <v>144</v>
      </c>
      <c r="D32" s="8">
        <v>3.39</v>
      </c>
      <c r="E32" s="12">
        <v>3</v>
      </c>
      <c r="F32" s="8">
        <v>0.18</v>
      </c>
      <c r="G32" s="12">
        <v>141</v>
      </c>
      <c r="H32" s="8">
        <v>5.46</v>
      </c>
      <c r="I32" s="12">
        <v>0</v>
      </c>
    </row>
    <row r="33" spans="2:9" ht="15" customHeight="1" x14ac:dyDescent="0.2">
      <c r="B33" t="s">
        <v>96</v>
      </c>
      <c r="C33" s="12">
        <v>143</v>
      </c>
      <c r="D33" s="8">
        <v>3.37</v>
      </c>
      <c r="E33" s="12">
        <v>60</v>
      </c>
      <c r="F33" s="8">
        <v>3.62</v>
      </c>
      <c r="G33" s="12">
        <v>83</v>
      </c>
      <c r="H33" s="8">
        <v>3.21</v>
      </c>
      <c r="I33" s="12">
        <v>0</v>
      </c>
    </row>
    <row r="34" spans="2:9" ht="15" customHeight="1" x14ac:dyDescent="0.2">
      <c r="B34" t="s">
        <v>88</v>
      </c>
      <c r="C34" s="12">
        <v>101</v>
      </c>
      <c r="D34" s="8">
        <v>2.38</v>
      </c>
      <c r="E34" s="12">
        <v>12</v>
      </c>
      <c r="F34" s="8">
        <v>0.72</v>
      </c>
      <c r="G34" s="12">
        <v>89</v>
      </c>
      <c r="H34" s="8">
        <v>3.45</v>
      </c>
      <c r="I34" s="12">
        <v>0</v>
      </c>
    </row>
    <row r="35" spans="2:9" ht="15" customHeight="1" x14ac:dyDescent="0.2">
      <c r="B35" t="s">
        <v>102</v>
      </c>
      <c r="C35" s="12">
        <v>83</v>
      </c>
      <c r="D35" s="8">
        <v>1.96</v>
      </c>
      <c r="E35" s="12">
        <v>26</v>
      </c>
      <c r="F35" s="8">
        <v>1.57</v>
      </c>
      <c r="G35" s="12">
        <v>57</v>
      </c>
      <c r="H35" s="8">
        <v>2.21</v>
      </c>
      <c r="I35" s="12">
        <v>0</v>
      </c>
    </row>
    <row r="36" spans="2:9" ht="15" customHeight="1" x14ac:dyDescent="0.2">
      <c r="B36" t="s">
        <v>107</v>
      </c>
      <c r="C36" s="12">
        <v>71</v>
      </c>
      <c r="D36" s="8">
        <v>1.67</v>
      </c>
      <c r="E36" s="12">
        <v>2</v>
      </c>
      <c r="F36" s="8">
        <v>0.12</v>
      </c>
      <c r="G36" s="12">
        <v>68</v>
      </c>
      <c r="H36" s="8">
        <v>2.63</v>
      </c>
      <c r="I36" s="12">
        <v>1</v>
      </c>
    </row>
    <row r="37" spans="2:9" ht="15" customHeight="1" x14ac:dyDescent="0.2">
      <c r="B37" t="s">
        <v>92</v>
      </c>
      <c r="C37" s="12">
        <v>69</v>
      </c>
      <c r="D37" s="8">
        <v>1.63</v>
      </c>
      <c r="E37" s="12">
        <v>4</v>
      </c>
      <c r="F37" s="8">
        <v>0.24</v>
      </c>
      <c r="G37" s="12">
        <v>65</v>
      </c>
      <c r="H37" s="8">
        <v>2.52</v>
      </c>
      <c r="I37" s="12">
        <v>0</v>
      </c>
    </row>
    <row r="38" spans="2:9" ht="15" customHeight="1" x14ac:dyDescent="0.2">
      <c r="B38" t="s">
        <v>91</v>
      </c>
      <c r="C38" s="12">
        <v>68</v>
      </c>
      <c r="D38" s="8">
        <v>1.6</v>
      </c>
      <c r="E38" s="12">
        <v>1</v>
      </c>
      <c r="F38" s="8">
        <v>0.06</v>
      </c>
      <c r="G38" s="12">
        <v>66</v>
      </c>
      <c r="H38" s="8">
        <v>2.56</v>
      </c>
      <c r="I38" s="12">
        <v>1</v>
      </c>
    </row>
    <row r="39" spans="2:9" ht="15" customHeight="1" x14ac:dyDescent="0.2">
      <c r="B39" t="s">
        <v>89</v>
      </c>
      <c r="C39" s="12">
        <v>65</v>
      </c>
      <c r="D39" s="8">
        <v>1.53</v>
      </c>
      <c r="E39" s="12">
        <v>11</v>
      </c>
      <c r="F39" s="8">
        <v>0.66</v>
      </c>
      <c r="G39" s="12">
        <v>54</v>
      </c>
      <c r="H39" s="8">
        <v>2.09</v>
      </c>
      <c r="I39" s="12">
        <v>0</v>
      </c>
    </row>
    <row r="40" spans="2:9" ht="15" customHeight="1" x14ac:dyDescent="0.2">
      <c r="B40" t="s">
        <v>115</v>
      </c>
      <c r="C40" s="12">
        <v>58</v>
      </c>
      <c r="D40" s="8">
        <v>1.37</v>
      </c>
      <c r="E40" s="12">
        <v>22</v>
      </c>
      <c r="F40" s="8">
        <v>1.33</v>
      </c>
      <c r="G40" s="12">
        <v>36</v>
      </c>
      <c r="H40" s="8">
        <v>1.39</v>
      </c>
      <c r="I40" s="12">
        <v>0</v>
      </c>
    </row>
    <row r="41" spans="2:9" ht="15" customHeight="1" x14ac:dyDescent="0.2">
      <c r="B41" t="s">
        <v>97</v>
      </c>
      <c r="C41" s="12">
        <v>52</v>
      </c>
      <c r="D41" s="8">
        <v>1.23</v>
      </c>
      <c r="E41" s="12">
        <v>18</v>
      </c>
      <c r="F41" s="8">
        <v>1.0900000000000001</v>
      </c>
      <c r="G41" s="12">
        <v>34</v>
      </c>
      <c r="H41" s="8">
        <v>1.32</v>
      </c>
      <c r="I41" s="12">
        <v>0</v>
      </c>
    </row>
    <row r="42" spans="2:9" ht="15" customHeight="1" x14ac:dyDescent="0.2">
      <c r="B42" t="s">
        <v>90</v>
      </c>
      <c r="C42" s="12">
        <v>46</v>
      </c>
      <c r="D42" s="8">
        <v>1.08</v>
      </c>
      <c r="E42" s="12">
        <v>8</v>
      </c>
      <c r="F42" s="8">
        <v>0.48</v>
      </c>
      <c r="G42" s="12">
        <v>38</v>
      </c>
      <c r="H42" s="8">
        <v>1.47</v>
      </c>
      <c r="I42" s="12">
        <v>0</v>
      </c>
    </row>
    <row r="43" spans="2:9" ht="15" customHeight="1" x14ac:dyDescent="0.2">
      <c r="B43" t="s">
        <v>132</v>
      </c>
      <c r="C43" s="12">
        <v>44</v>
      </c>
      <c r="D43" s="8">
        <v>1.04</v>
      </c>
      <c r="E43" s="12">
        <v>0</v>
      </c>
      <c r="F43" s="8">
        <v>0</v>
      </c>
      <c r="G43" s="12">
        <v>44</v>
      </c>
      <c r="H43" s="8">
        <v>1.7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425</v>
      </c>
      <c r="D47" s="8">
        <v>10.01</v>
      </c>
      <c r="E47" s="12">
        <v>192</v>
      </c>
      <c r="F47" s="8">
        <v>11.59</v>
      </c>
      <c r="G47" s="12">
        <v>233</v>
      </c>
      <c r="H47" s="8">
        <v>9.02</v>
      </c>
      <c r="I47" s="12">
        <v>0</v>
      </c>
    </row>
    <row r="48" spans="2:9" ht="15" customHeight="1" x14ac:dyDescent="0.2">
      <c r="B48" t="s">
        <v>172</v>
      </c>
      <c r="C48" s="12">
        <v>198</v>
      </c>
      <c r="D48" s="8">
        <v>4.67</v>
      </c>
      <c r="E48" s="12">
        <v>142</v>
      </c>
      <c r="F48" s="8">
        <v>8.57</v>
      </c>
      <c r="G48" s="12">
        <v>56</v>
      </c>
      <c r="H48" s="8">
        <v>2.17</v>
      </c>
      <c r="I48" s="12">
        <v>0</v>
      </c>
    </row>
    <row r="49" spans="2:9" ht="15" customHeight="1" x14ac:dyDescent="0.2">
      <c r="B49" t="s">
        <v>163</v>
      </c>
      <c r="C49" s="12">
        <v>163</v>
      </c>
      <c r="D49" s="8">
        <v>3.84</v>
      </c>
      <c r="E49" s="12">
        <v>2</v>
      </c>
      <c r="F49" s="8">
        <v>0.12</v>
      </c>
      <c r="G49" s="12">
        <v>161</v>
      </c>
      <c r="H49" s="8">
        <v>6.23</v>
      </c>
      <c r="I49" s="12">
        <v>0</v>
      </c>
    </row>
    <row r="50" spans="2:9" ht="15" customHeight="1" x14ac:dyDescent="0.2">
      <c r="B50" t="s">
        <v>173</v>
      </c>
      <c r="C50" s="12">
        <v>148</v>
      </c>
      <c r="D50" s="8">
        <v>3.49</v>
      </c>
      <c r="E50" s="12">
        <v>90</v>
      </c>
      <c r="F50" s="8">
        <v>5.43</v>
      </c>
      <c r="G50" s="12">
        <v>58</v>
      </c>
      <c r="H50" s="8">
        <v>2.25</v>
      </c>
      <c r="I50" s="12">
        <v>0</v>
      </c>
    </row>
    <row r="51" spans="2:9" ht="15" customHeight="1" x14ac:dyDescent="0.2">
      <c r="B51" t="s">
        <v>175</v>
      </c>
      <c r="C51" s="12">
        <v>146</v>
      </c>
      <c r="D51" s="8">
        <v>3.44</v>
      </c>
      <c r="E51" s="12">
        <v>115</v>
      </c>
      <c r="F51" s="8">
        <v>6.94</v>
      </c>
      <c r="G51" s="12">
        <v>31</v>
      </c>
      <c r="H51" s="8">
        <v>1.2</v>
      </c>
      <c r="I51" s="12">
        <v>0</v>
      </c>
    </row>
    <row r="52" spans="2:9" ht="15" customHeight="1" x14ac:dyDescent="0.2">
      <c r="B52" t="s">
        <v>159</v>
      </c>
      <c r="C52" s="12">
        <v>138</v>
      </c>
      <c r="D52" s="8">
        <v>3.25</v>
      </c>
      <c r="E52" s="12">
        <v>75</v>
      </c>
      <c r="F52" s="8">
        <v>4.53</v>
      </c>
      <c r="G52" s="12">
        <v>63</v>
      </c>
      <c r="H52" s="8">
        <v>2.44</v>
      </c>
      <c r="I52" s="12">
        <v>0</v>
      </c>
    </row>
    <row r="53" spans="2:9" ht="15" customHeight="1" x14ac:dyDescent="0.2">
      <c r="B53" t="s">
        <v>168</v>
      </c>
      <c r="C53" s="12">
        <v>134</v>
      </c>
      <c r="D53" s="8">
        <v>3.16</v>
      </c>
      <c r="E53" s="12">
        <v>87</v>
      </c>
      <c r="F53" s="8">
        <v>5.25</v>
      </c>
      <c r="G53" s="12">
        <v>47</v>
      </c>
      <c r="H53" s="8">
        <v>1.82</v>
      </c>
      <c r="I53" s="12">
        <v>0</v>
      </c>
    </row>
    <row r="54" spans="2:9" ht="15" customHeight="1" x14ac:dyDescent="0.2">
      <c r="B54" t="s">
        <v>169</v>
      </c>
      <c r="C54" s="12">
        <v>124</v>
      </c>
      <c r="D54" s="8">
        <v>2.92</v>
      </c>
      <c r="E54" s="12">
        <v>82</v>
      </c>
      <c r="F54" s="8">
        <v>4.95</v>
      </c>
      <c r="G54" s="12">
        <v>41</v>
      </c>
      <c r="H54" s="8">
        <v>1.59</v>
      </c>
      <c r="I54" s="12">
        <v>1</v>
      </c>
    </row>
    <row r="55" spans="2:9" ht="15" customHeight="1" x14ac:dyDescent="0.2">
      <c r="B55" t="s">
        <v>160</v>
      </c>
      <c r="C55" s="12">
        <v>110</v>
      </c>
      <c r="D55" s="8">
        <v>2.59</v>
      </c>
      <c r="E55" s="12">
        <v>3</v>
      </c>
      <c r="F55" s="8">
        <v>0.18</v>
      </c>
      <c r="G55" s="12">
        <v>107</v>
      </c>
      <c r="H55" s="8">
        <v>4.1399999999999997</v>
      </c>
      <c r="I55" s="12">
        <v>0</v>
      </c>
    </row>
    <row r="56" spans="2:9" ht="15" customHeight="1" x14ac:dyDescent="0.2">
      <c r="B56" t="s">
        <v>161</v>
      </c>
      <c r="C56" s="12">
        <v>110</v>
      </c>
      <c r="D56" s="8">
        <v>2.59</v>
      </c>
      <c r="E56" s="12">
        <v>25</v>
      </c>
      <c r="F56" s="8">
        <v>1.51</v>
      </c>
      <c r="G56" s="12">
        <v>85</v>
      </c>
      <c r="H56" s="8">
        <v>3.29</v>
      </c>
      <c r="I56" s="12">
        <v>0</v>
      </c>
    </row>
    <row r="57" spans="2:9" ht="15" customHeight="1" x14ac:dyDescent="0.2">
      <c r="B57" t="s">
        <v>170</v>
      </c>
      <c r="C57" s="12">
        <v>89</v>
      </c>
      <c r="D57" s="8">
        <v>2.1</v>
      </c>
      <c r="E57" s="12">
        <v>75</v>
      </c>
      <c r="F57" s="8">
        <v>4.53</v>
      </c>
      <c r="G57" s="12">
        <v>14</v>
      </c>
      <c r="H57" s="8">
        <v>0.54</v>
      </c>
      <c r="I57" s="12">
        <v>0</v>
      </c>
    </row>
    <row r="58" spans="2:9" ht="15" customHeight="1" x14ac:dyDescent="0.2">
      <c r="B58" t="s">
        <v>199</v>
      </c>
      <c r="C58" s="12">
        <v>86</v>
      </c>
      <c r="D58" s="8">
        <v>2.0299999999999998</v>
      </c>
      <c r="E58" s="12">
        <v>20</v>
      </c>
      <c r="F58" s="8">
        <v>1.21</v>
      </c>
      <c r="G58" s="12">
        <v>66</v>
      </c>
      <c r="H58" s="8">
        <v>2.56</v>
      </c>
      <c r="I58" s="12">
        <v>0</v>
      </c>
    </row>
    <row r="59" spans="2:9" ht="15" customHeight="1" x14ac:dyDescent="0.2">
      <c r="B59" t="s">
        <v>166</v>
      </c>
      <c r="C59" s="12">
        <v>82</v>
      </c>
      <c r="D59" s="8">
        <v>1.93</v>
      </c>
      <c r="E59" s="12">
        <v>5</v>
      </c>
      <c r="F59" s="8">
        <v>0.3</v>
      </c>
      <c r="G59" s="12">
        <v>76</v>
      </c>
      <c r="H59" s="8">
        <v>2.94</v>
      </c>
      <c r="I59" s="12">
        <v>1</v>
      </c>
    </row>
    <row r="60" spans="2:9" ht="15" customHeight="1" x14ac:dyDescent="0.2">
      <c r="B60" t="s">
        <v>171</v>
      </c>
      <c r="C60" s="12">
        <v>73</v>
      </c>
      <c r="D60" s="8">
        <v>1.72</v>
      </c>
      <c r="E60" s="12">
        <v>62</v>
      </c>
      <c r="F60" s="8">
        <v>3.74</v>
      </c>
      <c r="G60" s="12">
        <v>11</v>
      </c>
      <c r="H60" s="8">
        <v>0.43</v>
      </c>
      <c r="I60" s="12">
        <v>0</v>
      </c>
    </row>
    <row r="61" spans="2:9" ht="15" customHeight="1" x14ac:dyDescent="0.2">
      <c r="B61" t="s">
        <v>190</v>
      </c>
      <c r="C61" s="12">
        <v>65</v>
      </c>
      <c r="D61" s="8">
        <v>1.53</v>
      </c>
      <c r="E61" s="12">
        <v>19</v>
      </c>
      <c r="F61" s="8">
        <v>1.1499999999999999</v>
      </c>
      <c r="G61" s="12">
        <v>46</v>
      </c>
      <c r="H61" s="8">
        <v>1.78</v>
      </c>
      <c r="I61" s="12">
        <v>0</v>
      </c>
    </row>
    <row r="62" spans="2:9" ht="15" customHeight="1" x14ac:dyDescent="0.2">
      <c r="B62" t="s">
        <v>218</v>
      </c>
      <c r="C62" s="12">
        <v>64</v>
      </c>
      <c r="D62" s="8">
        <v>1.51</v>
      </c>
      <c r="E62" s="12">
        <v>42</v>
      </c>
      <c r="F62" s="8">
        <v>2.54</v>
      </c>
      <c r="G62" s="12">
        <v>22</v>
      </c>
      <c r="H62" s="8">
        <v>0.85</v>
      </c>
      <c r="I62" s="12">
        <v>0</v>
      </c>
    </row>
    <row r="63" spans="2:9" ht="15" customHeight="1" x14ac:dyDescent="0.2">
      <c r="B63" t="s">
        <v>158</v>
      </c>
      <c r="C63" s="12">
        <v>63</v>
      </c>
      <c r="D63" s="8">
        <v>1.48</v>
      </c>
      <c r="E63" s="12">
        <v>27</v>
      </c>
      <c r="F63" s="8">
        <v>1.63</v>
      </c>
      <c r="G63" s="12">
        <v>36</v>
      </c>
      <c r="H63" s="8">
        <v>1.39</v>
      </c>
      <c r="I63" s="12">
        <v>0</v>
      </c>
    </row>
    <row r="64" spans="2:9" ht="15" customHeight="1" x14ac:dyDescent="0.2">
      <c r="B64" t="s">
        <v>174</v>
      </c>
      <c r="C64" s="12">
        <v>63</v>
      </c>
      <c r="D64" s="8">
        <v>1.48</v>
      </c>
      <c r="E64" s="12">
        <v>50</v>
      </c>
      <c r="F64" s="8">
        <v>3.02</v>
      </c>
      <c r="G64" s="12">
        <v>13</v>
      </c>
      <c r="H64" s="8">
        <v>0.5</v>
      </c>
      <c r="I64" s="12">
        <v>0</v>
      </c>
    </row>
    <row r="65" spans="2:9" ht="15" customHeight="1" x14ac:dyDescent="0.2">
      <c r="B65" t="s">
        <v>167</v>
      </c>
      <c r="C65" s="12">
        <v>61</v>
      </c>
      <c r="D65" s="8">
        <v>1.44</v>
      </c>
      <c r="E65" s="12">
        <v>15</v>
      </c>
      <c r="F65" s="8">
        <v>0.91</v>
      </c>
      <c r="G65" s="12">
        <v>46</v>
      </c>
      <c r="H65" s="8">
        <v>1.78</v>
      </c>
      <c r="I65" s="12">
        <v>0</v>
      </c>
    </row>
    <row r="66" spans="2:9" ht="15" customHeight="1" x14ac:dyDescent="0.2">
      <c r="B66" t="s">
        <v>157</v>
      </c>
      <c r="C66" s="12">
        <v>59</v>
      </c>
      <c r="D66" s="8">
        <v>1.39</v>
      </c>
      <c r="E66" s="12">
        <v>1</v>
      </c>
      <c r="F66" s="8">
        <v>0.06</v>
      </c>
      <c r="G66" s="12">
        <v>57</v>
      </c>
      <c r="H66" s="8">
        <v>2.21</v>
      </c>
      <c r="I66" s="12">
        <v>1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2B72-652E-48EB-939E-869707023EA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371</v>
      </c>
      <c r="D6" s="8">
        <v>12.29</v>
      </c>
      <c r="E6" s="12">
        <v>50</v>
      </c>
      <c r="F6" s="8">
        <v>3.9</v>
      </c>
      <c r="G6" s="12">
        <v>321</v>
      </c>
      <c r="H6" s="8">
        <v>18.510000000000002</v>
      </c>
      <c r="I6" s="12">
        <v>0</v>
      </c>
    </row>
    <row r="7" spans="2:9" ht="15" customHeight="1" x14ac:dyDescent="0.2">
      <c r="B7" t="s">
        <v>67</v>
      </c>
      <c r="C7" s="12">
        <v>153</v>
      </c>
      <c r="D7" s="8">
        <v>5.07</v>
      </c>
      <c r="E7" s="12">
        <v>32</v>
      </c>
      <c r="F7" s="8">
        <v>2.4900000000000002</v>
      </c>
      <c r="G7" s="12">
        <v>121</v>
      </c>
      <c r="H7" s="8">
        <v>6.98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69</v>
      </c>
      <c r="C9" s="12">
        <v>90</v>
      </c>
      <c r="D9" s="8">
        <v>2.98</v>
      </c>
      <c r="E9" s="12">
        <v>2</v>
      </c>
      <c r="F9" s="8">
        <v>0.16</v>
      </c>
      <c r="G9" s="12">
        <v>88</v>
      </c>
      <c r="H9" s="8">
        <v>5.07</v>
      </c>
      <c r="I9" s="12">
        <v>0</v>
      </c>
    </row>
    <row r="10" spans="2:9" ht="15" customHeight="1" x14ac:dyDescent="0.2">
      <c r="B10" t="s">
        <v>70</v>
      </c>
      <c r="C10" s="12">
        <v>46</v>
      </c>
      <c r="D10" s="8">
        <v>1.52</v>
      </c>
      <c r="E10" s="12">
        <v>35</v>
      </c>
      <c r="F10" s="8">
        <v>2.73</v>
      </c>
      <c r="G10" s="12">
        <v>11</v>
      </c>
      <c r="H10" s="8">
        <v>0.63</v>
      </c>
      <c r="I10" s="12">
        <v>0</v>
      </c>
    </row>
    <row r="11" spans="2:9" ht="15" customHeight="1" x14ac:dyDescent="0.2">
      <c r="B11" t="s">
        <v>71</v>
      </c>
      <c r="C11" s="12">
        <v>431</v>
      </c>
      <c r="D11" s="8">
        <v>14.28</v>
      </c>
      <c r="E11" s="12">
        <v>145</v>
      </c>
      <c r="F11" s="8">
        <v>11.3</v>
      </c>
      <c r="G11" s="12">
        <v>286</v>
      </c>
      <c r="H11" s="8">
        <v>16.489999999999998</v>
      </c>
      <c r="I11" s="12">
        <v>0</v>
      </c>
    </row>
    <row r="12" spans="2:9" ht="15" customHeight="1" x14ac:dyDescent="0.2">
      <c r="B12" t="s">
        <v>72</v>
      </c>
      <c r="C12" s="12">
        <v>12</v>
      </c>
      <c r="D12" s="8">
        <v>0.4</v>
      </c>
      <c r="E12" s="12">
        <v>1</v>
      </c>
      <c r="F12" s="8">
        <v>0.08</v>
      </c>
      <c r="G12" s="12">
        <v>11</v>
      </c>
      <c r="H12" s="8">
        <v>0.63</v>
      </c>
      <c r="I12" s="12">
        <v>0</v>
      </c>
    </row>
    <row r="13" spans="2:9" ht="15" customHeight="1" x14ac:dyDescent="0.2">
      <c r="B13" t="s">
        <v>73</v>
      </c>
      <c r="C13" s="12">
        <v>779</v>
      </c>
      <c r="D13" s="8">
        <v>25.81</v>
      </c>
      <c r="E13" s="12">
        <v>398</v>
      </c>
      <c r="F13" s="8">
        <v>31.02</v>
      </c>
      <c r="G13" s="12">
        <v>381</v>
      </c>
      <c r="H13" s="8">
        <v>21.97</v>
      </c>
      <c r="I13" s="12">
        <v>0</v>
      </c>
    </row>
    <row r="14" spans="2:9" ht="15" customHeight="1" x14ac:dyDescent="0.2">
      <c r="B14" t="s">
        <v>74</v>
      </c>
      <c r="C14" s="12">
        <v>229</v>
      </c>
      <c r="D14" s="8">
        <v>7.59</v>
      </c>
      <c r="E14" s="12">
        <v>84</v>
      </c>
      <c r="F14" s="8">
        <v>6.55</v>
      </c>
      <c r="G14" s="12">
        <v>145</v>
      </c>
      <c r="H14" s="8">
        <v>8.36</v>
      </c>
      <c r="I14" s="12">
        <v>0</v>
      </c>
    </row>
    <row r="15" spans="2:9" ht="15" customHeight="1" x14ac:dyDescent="0.2">
      <c r="B15" t="s">
        <v>75</v>
      </c>
      <c r="C15" s="12">
        <v>263</v>
      </c>
      <c r="D15" s="8">
        <v>8.7100000000000009</v>
      </c>
      <c r="E15" s="12">
        <v>183</v>
      </c>
      <c r="F15" s="8">
        <v>14.26</v>
      </c>
      <c r="G15" s="12">
        <v>80</v>
      </c>
      <c r="H15" s="8">
        <v>4.6100000000000003</v>
      </c>
      <c r="I15" s="12">
        <v>0</v>
      </c>
    </row>
    <row r="16" spans="2:9" ht="15" customHeight="1" x14ac:dyDescent="0.2">
      <c r="B16" t="s">
        <v>76</v>
      </c>
      <c r="C16" s="12">
        <v>257</v>
      </c>
      <c r="D16" s="8">
        <v>8.52</v>
      </c>
      <c r="E16" s="12">
        <v>183</v>
      </c>
      <c r="F16" s="8">
        <v>14.26</v>
      </c>
      <c r="G16" s="12">
        <v>74</v>
      </c>
      <c r="H16" s="8">
        <v>4.2699999999999996</v>
      </c>
      <c r="I16" s="12">
        <v>0</v>
      </c>
    </row>
    <row r="17" spans="2:9" ht="15" customHeight="1" x14ac:dyDescent="0.2">
      <c r="B17" t="s">
        <v>77</v>
      </c>
      <c r="C17" s="12">
        <v>99</v>
      </c>
      <c r="D17" s="8">
        <v>3.28</v>
      </c>
      <c r="E17" s="12">
        <v>63</v>
      </c>
      <c r="F17" s="8">
        <v>4.91</v>
      </c>
      <c r="G17" s="12">
        <v>36</v>
      </c>
      <c r="H17" s="8">
        <v>2.08</v>
      </c>
      <c r="I17" s="12">
        <v>0</v>
      </c>
    </row>
    <row r="18" spans="2:9" ht="15" customHeight="1" x14ac:dyDescent="0.2">
      <c r="B18" t="s">
        <v>78</v>
      </c>
      <c r="C18" s="12">
        <v>182</v>
      </c>
      <c r="D18" s="8">
        <v>6.03</v>
      </c>
      <c r="E18" s="12">
        <v>92</v>
      </c>
      <c r="F18" s="8">
        <v>7.17</v>
      </c>
      <c r="G18" s="12">
        <v>90</v>
      </c>
      <c r="H18" s="8">
        <v>5.19</v>
      </c>
      <c r="I18" s="12">
        <v>0</v>
      </c>
    </row>
    <row r="19" spans="2:9" ht="15" customHeight="1" x14ac:dyDescent="0.2">
      <c r="B19" t="s">
        <v>79</v>
      </c>
      <c r="C19" s="12">
        <v>105</v>
      </c>
      <c r="D19" s="8">
        <v>3.48</v>
      </c>
      <c r="E19" s="12">
        <v>15</v>
      </c>
      <c r="F19" s="8">
        <v>1.17</v>
      </c>
      <c r="G19" s="12">
        <v>89</v>
      </c>
      <c r="H19" s="8">
        <v>5.13</v>
      </c>
      <c r="I19" s="12">
        <v>0</v>
      </c>
    </row>
    <row r="20" spans="2:9" ht="15" customHeight="1" x14ac:dyDescent="0.2">
      <c r="B20" s="9" t="s">
        <v>280</v>
      </c>
      <c r="C20" s="12">
        <f>SUM(LTBL_13204[総数／事業所数])</f>
        <v>3018</v>
      </c>
      <c r="E20" s="12">
        <f>SUBTOTAL(109,LTBL_13204[個人／事業所数])</f>
        <v>1283</v>
      </c>
      <c r="G20" s="12">
        <f>SUBTOTAL(109,LTBL_13204[法人／事業所数])</f>
        <v>1734</v>
      </c>
      <c r="I20" s="12">
        <f>SUBTOTAL(109,LTBL_13204[法人以外の団体／事業所数])</f>
        <v>0</v>
      </c>
    </row>
    <row r="21" spans="2:9" ht="15" customHeight="1" x14ac:dyDescent="0.2">
      <c r="E21" s="11">
        <f>LTBL_13204[[#Totals],[個人／事業所数]]/LTBL_13204[[#Totals],[総数／事業所数]]</f>
        <v>0.42511597084161695</v>
      </c>
      <c r="G21" s="11">
        <f>LTBL_13204[[#Totals],[法人／事業所数]]/LTBL_13204[[#Totals],[総数／事業所数]]</f>
        <v>0.57455268389662029</v>
      </c>
      <c r="I21" s="11">
        <f>LTBL_13204[[#Totals],[法人以外の団体／事業所数]]/LTBL_13204[[#Totals],[総数／事業所数]]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709</v>
      </c>
      <c r="D24" s="8">
        <v>23.49</v>
      </c>
      <c r="E24" s="12">
        <v>391</v>
      </c>
      <c r="F24" s="8">
        <v>30.48</v>
      </c>
      <c r="G24" s="12">
        <v>318</v>
      </c>
      <c r="H24" s="8">
        <v>18.34</v>
      </c>
      <c r="I24" s="12">
        <v>0</v>
      </c>
    </row>
    <row r="25" spans="2:9" ht="15" customHeight="1" x14ac:dyDescent="0.2">
      <c r="B25" t="s">
        <v>103</v>
      </c>
      <c r="C25" s="12">
        <v>236</v>
      </c>
      <c r="D25" s="8">
        <v>7.82</v>
      </c>
      <c r="E25" s="12">
        <v>182</v>
      </c>
      <c r="F25" s="8">
        <v>14.19</v>
      </c>
      <c r="G25" s="12">
        <v>54</v>
      </c>
      <c r="H25" s="8">
        <v>3.11</v>
      </c>
      <c r="I25" s="12">
        <v>0</v>
      </c>
    </row>
    <row r="26" spans="2:9" ht="15" customHeight="1" x14ac:dyDescent="0.2">
      <c r="B26" t="s">
        <v>104</v>
      </c>
      <c r="C26" s="12">
        <v>212</v>
      </c>
      <c r="D26" s="8">
        <v>7.02</v>
      </c>
      <c r="E26" s="12">
        <v>169</v>
      </c>
      <c r="F26" s="8">
        <v>13.17</v>
      </c>
      <c r="G26" s="12">
        <v>43</v>
      </c>
      <c r="H26" s="8">
        <v>2.48</v>
      </c>
      <c r="I26" s="12">
        <v>0</v>
      </c>
    </row>
    <row r="27" spans="2:9" ht="15" customHeight="1" x14ac:dyDescent="0.2">
      <c r="B27" t="s">
        <v>88</v>
      </c>
      <c r="C27" s="12">
        <v>166</v>
      </c>
      <c r="D27" s="8">
        <v>5.5</v>
      </c>
      <c r="E27" s="12">
        <v>15</v>
      </c>
      <c r="F27" s="8">
        <v>1.17</v>
      </c>
      <c r="G27" s="12">
        <v>151</v>
      </c>
      <c r="H27" s="8">
        <v>8.7100000000000009</v>
      </c>
      <c r="I27" s="12">
        <v>0</v>
      </c>
    </row>
    <row r="28" spans="2:9" ht="15" customHeight="1" x14ac:dyDescent="0.2">
      <c r="B28" t="s">
        <v>101</v>
      </c>
      <c r="C28" s="12">
        <v>148</v>
      </c>
      <c r="D28" s="8">
        <v>4.9000000000000004</v>
      </c>
      <c r="E28" s="12">
        <v>62</v>
      </c>
      <c r="F28" s="8">
        <v>4.83</v>
      </c>
      <c r="G28" s="12">
        <v>86</v>
      </c>
      <c r="H28" s="8">
        <v>4.96</v>
      </c>
      <c r="I28" s="12">
        <v>0</v>
      </c>
    </row>
    <row r="29" spans="2:9" ht="15" customHeight="1" x14ac:dyDescent="0.2">
      <c r="B29" t="s">
        <v>89</v>
      </c>
      <c r="C29" s="12">
        <v>135</v>
      </c>
      <c r="D29" s="8">
        <v>4.47</v>
      </c>
      <c r="E29" s="12">
        <v>29</v>
      </c>
      <c r="F29" s="8">
        <v>2.2599999999999998</v>
      </c>
      <c r="G29" s="12">
        <v>106</v>
      </c>
      <c r="H29" s="8">
        <v>6.11</v>
      </c>
      <c r="I29" s="12">
        <v>0</v>
      </c>
    </row>
    <row r="30" spans="2:9" ht="15" customHeight="1" x14ac:dyDescent="0.2">
      <c r="B30" t="s">
        <v>98</v>
      </c>
      <c r="C30" s="12">
        <v>119</v>
      </c>
      <c r="D30" s="8">
        <v>3.94</v>
      </c>
      <c r="E30" s="12">
        <v>51</v>
      </c>
      <c r="F30" s="8">
        <v>3.98</v>
      </c>
      <c r="G30" s="12">
        <v>68</v>
      </c>
      <c r="H30" s="8">
        <v>3.92</v>
      </c>
      <c r="I30" s="12">
        <v>0</v>
      </c>
    </row>
    <row r="31" spans="2:9" ht="15" customHeight="1" x14ac:dyDescent="0.2">
      <c r="B31" t="s">
        <v>106</v>
      </c>
      <c r="C31" s="12">
        <v>111</v>
      </c>
      <c r="D31" s="8">
        <v>3.68</v>
      </c>
      <c r="E31" s="12">
        <v>91</v>
      </c>
      <c r="F31" s="8">
        <v>7.09</v>
      </c>
      <c r="G31" s="12">
        <v>20</v>
      </c>
      <c r="H31" s="8">
        <v>1.1499999999999999</v>
      </c>
      <c r="I31" s="12">
        <v>0</v>
      </c>
    </row>
    <row r="32" spans="2:9" ht="15" customHeight="1" x14ac:dyDescent="0.2">
      <c r="B32" t="s">
        <v>105</v>
      </c>
      <c r="C32" s="12">
        <v>99</v>
      </c>
      <c r="D32" s="8">
        <v>3.28</v>
      </c>
      <c r="E32" s="12">
        <v>63</v>
      </c>
      <c r="F32" s="8">
        <v>4.91</v>
      </c>
      <c r="G32" s="12">
        <v>36</v>
      </c>
      <c r="H32" s="8">
        <v>2.08</v>
      </c>
      <c r="I32" s="12">
        <v>0</v>
      </c>
    </row>
    <row r="33" spans="2:9" ht="15" customHeight="1" x14ac:dyDescent="0.2">
      <c r="B33" t="s">
        <v>96</v>
      </c>
      <c r="C33" s="12">
        <v>88</v>
      </c>
      <c r="D33" s="8">
        <v>2.92</v>
      </c>
      <c r="E33" s="12">
        <v>49</v>
      </c>
      <c r="F33" s="8">
        <v>3.82</v>
      </c>
      <c r="G33" s="12">
        <v>39</v>
      </c>
      <c r="H33" s="8">
        <v>2.25</v>
      </c>
      <c r="I33" s="12">
        <v>0</v>
      </c>
    </row>
    <row r="34" spans="2:9" ht="15" customHeight="1" x14ac:dyDescent="0.2">
      <c r="B34" t="s">
        <v>132</v>
      </c>
      <c r="C34" s="12">
        <v>71</v>
      </c>
      <c r="D34" s="8">
        <v>2.35</v>
      </c>
      <c r="E34" s="12">
        <v>1</v>
      </c>
      <c r="F34" s="8">
        <v>0.08</v>
      </c>
      <c r="G34" s="12">
        <v>70</v>
      </c>
      <c r="H34" s="8">
        <v>4.04</v>
      </c>
      <c r="I34" s="12">
        <v>0</v>
      </c>
    </row>
    <row r="35" spans="2:9" ht="15" customHeight="1" x14ac:dyDescent="0.2">
      <c r="B35" t="s">
        <v>90</v>
      </c>
      <c r="C35" s="12">
        <v>70</v>
      </c>
      <c r="D35" s="8">
        <v>2.3199999999999998</v>
      </c>
      <c r="E35" s="12">
        <v>6</v>
      </c>
      <c r="F35" s="8">
        <v>0.47</v>
      </c>
      <c r="G35" s="12">
        <v>64</v>
      </c>
      <c r="H35" s="8">
        <v>3.69</v>
      </c>
      <c r="I35" s="12">
        <v>0</v>
      </c>
    </row>
    <row r="36" spans="2:9" ht="15" customHeight="1" x14ac:dyDescent="0.2">
      <c r="B36" t="s">
        <v>102</v>
      </c>
      <c r="C36" s="12">
        <v>68</v>
      </c>
      <c r="D36" s="8">
        <v>2.25</v>
      </c>
      <c r="E36" s="12">
        <v>20</v>
      </c>
      <c r="F36" s="8">
        <v>1.56</v>
      </c>
      <c r="G36" s="12">
        <v>48</v>
      </c>
      <c r="H36" s="8">
        <v>2.77</v>
      </c>
      <c r="I36" s="12">
        <v>0</v>
      </c>
    </row>
    <row r="37" spans="2:9" ht="15" customHeight="1" x14ac:dyDescent="0.2">
      <c r="B37" t="s">
        <v>99</v>
      </c>
      <c r="C37" s="12">
        <v>63</v>
      </c>
      <c r="D37" s="8">
        <v>2.09</v>
      </c>
      <c r="E37" s="12">
        <v>7</v>
      </c>
      <c r="F37" s="8">
        <v>0.55000000000000004</v>
      </c>
      <c r="G37" s="12">
        <v>56</v>
      </c>
      <c r="H37" s="8">
        <v>3.23</v>
      </c>
      <c r="I37" s="12">
        <v>0</v>
      </c>
    </row>
    <row r="38" spans="2:9" ht="15" customHeight="1" x14ac:dyDescent="0.2">
      <c r="B38" t="s">
        <v>107</v>
      </c>
      <c r="C38" s="12">
        <v>60</v>
      </c>
      <c r="D38" s="8">
        <v>1.99</v>
      </c>
      <c r="E38" s="12">
        <v>2</v>
      </c>
      <c r="F38" s="8">
        <v>0.16</v>
      </c>
      <c r="G38" s="12">
        <v>58</v>
      </c>
      <c r="H38" s="8">
        <v>3.34</v>
      </c>
      <c r="I38" s="12">
        <v>0</v>
      </c>
    </row>
    <row r="39" spans="2:9" ht="15" customHeight="1" x14ac:dyDescent="0.2">
      <c r="B39" t="s">
        <v>91</v>
      </c>
      <c r="C39" s="12">
        <v>50</v>
      </c>
      <c r="D39" s="8">
        <v>1.66</v>
      </c>
      <c r="E39" s="12">
        <v>1</v>
      </c>
      <c r="F39" s="8">
        <v>0.08</v>
      </c>
      <c r="G39" s="12">
        <v>49</v>
      </c>
      <c r="H39" s="8">
        <v>2.83</v>
      </c>
      <c r="I39" s="12">
        <v>0</v>
      </c>
    </row>
    <row r="40" spans="2:9" ht="15" customHeight="1" x14ac:dyDescent="0.2">
      <c r="B40" t="s">
        <v>123</v>
      </c>
      <c r="C40" s="12">
        <v>37</v>
      </c>
      <c r="D40" s="8">
        <v>1.23</v>
      </c>
      <c r="E40" s="12">
        <v>35</v>
      </c>
      <c r="F40" s="8">
        <v>2.73</v>
      </c>
      <c r="G40" s="12">
        <v>2</v>
      </c>
      <c r="H40" s="8">
        <v>0.12</v>
      </c>
      <c r="I40" s="12">
        <v>0</v>
      </c>
    </row>
    <row r="41" spans="2:9" ht="15" customHeight="1" x14ac:dyDescent="0.2">
      <c r="B41" t="s">
        <v>97</v>
      </c>
      <c r="C41" s="12">
        <v>36</v>
      </c>
      <c r="D41" s="8">
        <v>1.19</v>
      </c>
      <c r="E41" s="12">
        <v>14</v>
      </c>
      <c r="F41" s="8">
        <v>1.0900000000000001</v>
      </c>
      <c r="G41" s="12">
        <v>22</v>
      </c>
      <c r="H41" s="8">
        <v>1.27</v>
      </c>
      <c r="I41" s="12">
        <v>0</v>
      </c>
    </row>
    <row r="42" spans="2:9" ht="15" customHeight="1" x14ac:dyDescent="0.2">
      <c r="B42" t="s">
        <v>95</v>
      </c>
      <c r="C42" s="12">
        <v>35</v>
      </c>
      <c r="D42" s="8">
        <v>1.1599999999999999</v>
      </c>
      <c r="E42" s="12">
        <v>13</v>
      </c>
      <c r="F42" s="8">
        <v>1.01</v>
      </c>
      <c r="G42" s="12">
        <v>22</v>
      </c>
      <c r="H42" s="8">
        <v>1.27</v>
      </c>
      <c r="I42" s="12">
        <v>0</v>
      </c>
    </row>
    <row r="43" spans="2:9" ht="15" customHeight="1" x14ac:dyDescent="0.2">
      <c r="B43" t="s">
        <v>110</v>
      </c>
      <c r="C43" s="12">
        <v>33</v>
      </c>
      <c r="D43" s="8">
        <v>1.0900000000000001</v>
      </c>
      <c r="E43" s="12">
        <v>7</v>
      </c>
      <c r="F43" s="8">
        <v>0.55000000000000004</v>
      </c>
      <c r="G43" s="12">
        <v>26</v>
      </c>
      <c r="H43" s="8">
        <v>1.5</v>
      </c>
      <c r="I43" s="12">
        <v>0</v>
      </c>
    </row>
    <row r="44" spans="2:9" ht="15" customHeight="1" x14ac:dyDescent="0.2">
      <c r="B44" t="s">
        <v>93</v>
      </c>
      <c r="C44" s="12">
        <v>33</v>
      </c>
      <c r="D44" s="8">
        <v>1.0900000000000001</v>
      </c>
      <c r="E44" s="12">
        <v>2</v>
      </c>
      <c r="F44" s="8">
        <v>0.16</v>
      </c>
      <c r="G44" s="12">
        <v>31</v>
      </c>
      <c r="H44" s="8">
        <v>1.79</v>
      </c>
      <c r="I44" s="12">
        <v>0</v>
      </c>
    </row>
    <row r="47" spans="2:9" ht="33" customHeight="1" x14ac:dyDescent="0.2">
      <c r="B47" t="s">
        <v>282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  <c r="I47" s="10" t="s">
        <v>87</v>
      </c>
    </row>
    <row r="48" spans="2:9" ht="15" customHeight="1" x14ac:dyDescent="0.2">
      <c r="B48" t="s">
        <v>162</v>
      </c>
      <c r="C48" s="12">
        <v>507</v>
      </c>
      <c r="D48" s="8">
        <v>16.8</v>
      </c>
      <c r="E48" s="12">
        <v>361</v>
      </c>
      <c r="F48" s="8">
        <v>28.14</v>
      </c>
      <c r="G48" s="12">
        <v>146</v>
      </c>
      <c r="H48" s="8">
        <v>8.42</v>
      </c>
      <c r="I48" s="12">
        <v>0</v>
      </c>
    </row>
    <row r="49" spans="2:9" ht="15" customHeight="1" x14ac:dyDescent="0.2">
      <c r="B49" t="s">
        <v>163</v>
      </c>
      <c r="C49" s="12">
        <v>114</v>
      </c>
      <c r="D49" s="8">
        <v>3.78</v>
      </c>
      <c r="E49" s="12">
        <v>6</v>
      </c>
      <c r="F49" s="8">
        <v>0.47</v>
      </c>
      <c r="G49" s="12">
        <v>108</v>
      </c>
      <c r="H49" s="8">
        <v>6.23</v>
      </c>
      <c r="I49" s="12">
        <v>0</v>
      </c>
    </row>
    <row r="50" spans="2:9" ht="15" customHeight="1" x14ac:dyDescent="0.2">
      <c r="B50" t="s">
        <v>172</v>
      </c>
      <c r="C50" s="12">
        <v>96</v>
      </c>
      <c r="D50" s="8">
        <v>3.18</v>
      </c>
      <c r="E50" s="12">
        <v>84</v>
      </c>
      <c r="F50" s="8">
        <v>6.55</v>
      </c>
      <c r="G50" s="12">
        <v>12</v>
      </c>
      <c r="H50" s="8">
        <v>0.69</v>
      </c>
      <c r="I50" s="12">
        <v>0</v>
      </c>
    </row>
    <row r="51" spans="2:9" ht="15" customHeight="1" x14ac:dyDescent="0.2">
      <c r="B51" t="s">
        <v>161</v>
      </c>
      <c r="C51" s="12">
        <v>71</v>
      </c>
      <c r="D51" s="8">
        <v>2.35</v>
      </c>
      <c r="E51" s="12">
        <v>13</v>
      </c>
      <c r="F51" s="8">
        <v>1.01</v>
      </c>
      <c r="G51" s="12">
        <v>58</v>
      </c>
      <c r="H51" s="8">
        <v>3.34</v>
      </c>
      <c r="I51" s="12">
        <v>0</v>
      </c>
    </row>
    <row r="52" spans="2:9" ht="15" customHeight="1" x14ac:dyDescent="0.2">
      <c r="B52" t="s">
        <v>175</v>
      </c>
      <c r="C52" s="12">
        <v>66</v>
      </c>
      <c r="D52" s="8">
        <v>2.19</v>
      </c>
      <c r="E52" s="12">
        <v>53</v>
      </c>
      <c r="F52" s="8">
        <v>4.13</v>
      </c>
      <c r="G52" s="12">
        <v>13</v>
      </c>
      <c r="H52" s="8">
        <v>0.75</v>
      </c>
      <c r="I52" s="12">
        <v>0</v>
      </c>
    </row>
    <row r="53" spans="2:9" ht="15" customHeight="1" x14ac:dyDescent="0.2">
      <c r="B53" t="s">
        <v>173</v>
      </c>
      <c r="C53" s="12">
        <v>63</v>
      </c>
      <c r="D53" s="8">
        <v>2.09</v>
      </c>
      <c r="E53" s="12">
        <v>43</v>
      </c>
      <c r="F53" s="8">
        <v>3.35</v>
      </c>
      <c r="G53" s="12">
        <v>20</v>
      </c>
      <c r="H53" s="8">
        <v>1.1499999999999999</v>
      </c>
      <c r="I53" s="12">
        <v>0</v>
      </c>
    </row>
    <row r="54" spans="2:9" ht="15" customHeight="1" x14ac:dyDescent="0.2">
      <c r="B54" t="s">
        <v>171</v>
      </c>
      <c r="C54" s="12">
        <v>57</v>
      </c>
      <c r="D54" s="8">
        <v>1.89</v>
      </c>
      <c r="E54" s="12">
        <v>52</v>
      </c>
      <c r="F54" s="8">
        <v>4.05</v>
      </c>
      <c r="G54" s="12">
        <v>5</v>
      </c>
      <c r="H54" s="8">
        <v>0.28999999999999998</v>
      </c>
      <c r="I54" s="12">
        <v>0</v>
      </c>
    </row>
    <row r="55" spans="2:9" ht="15" customHeight="1" x14ac:dyDescent="0.2">
      <c r="B55" t="s">
        <v>168</v>
      </c>
      <c r="C55" s="12">
        <v>56</v>
      </c>
      <c r="D55" s="8">
        <v>1.86</v>
      </c>
      <c r="E55" s="12">
        <v>44</v>
      </c>
      <c r="F55" s="8">
        <v>3.43</v>
      </c>
      <c r="G55" s="12">
        <v>12</v>
      </c>
      <c r="H55" s="8">
        <v>0.69</v>
      </c>
      <c r="I55" s="12">
        <v>0</v>
      </c>
    </row>
    <row r="56" spans="2:9" ht="15" customHeight="1" x14ac:dyDescent="0.2">
      <c r="B56" t="s">
        <v>200</v>
      </c>
      <c r="C56" s="12">
        <v>55</v>
      </c>
      <c r="D56" s="8">
        <v>1.82</v>
      </c>
      <c r="E56" s="12">
        <v>5</v>
      </c>
      <c r="F56" s="8">
        <v>0.39</v>
      </c>
      <c r="G56" s="12">
        <v>50</v>
      </c>
      <c r="H56" s="8">
        <v>2.88</v>
      </c>
      <c r="I56" s="12">
        <v>0</v>
      </c>
    </row>
    <row r="57" spans="2:9" ht="15" customHeight="1" x14ac:dyDescent="0.2">
      <c r="B57" t="s">
        <v>160</v>
      </c>
      <c r="C57" s="12">
        <v>53</v>
      </c>
      <c r="D57" s="8">
        <v>1.76</v>
      </c>
      <c r="E57" s="12">
        <v>5</v>
      </c>
      <c r="F57" s="8">
        <v>0.39</v>
      </c>
      <c r="G57" s="12">
        <v>48</v>
      </c>
      <c r="H57" s="8">
        <v>2.77</v>
      </c>
      <c r="I57" s="12">
        <v>0</v>
      </c>
    </row>
    <row r="58" spans="2:9" ht="15" customHeight="1" x14ac:dyDescent="0.2">
      <c r="B58" t="s">
        <v>169</v>
      </c>
      <c r="C58" s="12">
        <v>50</v>
      </c>
      <c r="D58" s="8">
        <v>1.66</v>
      </c>
      <c r="E58" s="12">
        <v>41</v>
      </c>
      <c r="F58" s="8">
        <v>3.2</v>
      </c>
      <c r="G58" s="12">
        <v>9</v>
      </c>
      <c r="H58" s="8">
        <v>0.52</v>
      </c>
      <c r="I58" s="12">
        <v>0</v>
      </c>
    </row>
    <row r="59" spans="2:9" ht="15" customHeight="1" x14ac:dyDescent="0.2">
      <c r="B59" t="s">
        <v>206</v>
      </c>
      <c r="C59" s="12">
        <v>48</v>
      </c>
      <c r="D59" s="8">
        <v>1.59</v>
      </c>
      <c r="E59" s="12">
        <v>2</v>
      </c>
      <c r="F59" s="8">
        <v>0.16</v>
      </c>
      <c r="G59" s="12">
        <v>46</v>
      </c>
      <c r="H59" s="8">
        <v>2.65</v>
      </c>
      <c r="I59" s="12">
        <v>0</v>
      </c>
    </row>
    <row r="60" spans="2:9" ht="15" customHeight="1" x14ac:dyDescent="0.2">
      <c r="B60" t="s">
        <v>167</v>
      </c>
      <c r="C60" s="12">
        <v>46</v>
      </c>
      <c r="D60" s="8">
        <v>1.52</v>
      </c>
      <c r="E60" s="12">
        <v>7</v>
      </c>
      <c r="F60" s="8">
        <v>0.55000000000000004</v>
      </c>
      <c r="G60" s="12">
        <v>39</v>
      </c>
      <c r="H60" s="8">
        <v>2.25</v>
      </c>
      <c r="I60" s="12">
        <v>0</v>
      </c>
    </row>
    <row r="61" spans="2:9" ht="15" customHeight="1" x14ac:dyDescent="0.2">
      <c r="B61" t="s">
        <v>197</v>
      </c>
      <c r="C61" s="12">
        <v>45</v>
      </c>
      <c r="D61" s="8">
        <v>1.49</v>
      </c>
      <c r="E61" s="12">
        <v>25</v>
      </c>
      <c r="F61" s="8">
        <v>1.95</v>
      </c>
      <c r="G61" s="12">
        <v>20</v>
      </c>
      <c r="H61" s="8">
        <v>1.1499999999999999</v>
      </c>
      <c r="I61" s="12">
        <v>0</v>
      </c>
    </row>
    <row r="62" spans="2:9" ht="15" customHeight="1" x14ac:dyDescent="0.2">
      <c r="B62" t="s">
        <v>166</v>
      </c>
      <c r="C62" s="12">
        <v>44</v>
      </c>
      <c r="D62" s="8">
        <v>1.46</v>
      </c>
      <c r="E62" s="12">
        <v>1</v>
      </c>
      <c r="F62" s="8">
        <v>0.08</v>
      </c>
      <c r="G62" s="12">
        <v>43</v>
      </c>
      <c r="H62" s="8">
        <v>2.48</v>
      </c>
      <c r="I62" s="12">
        <v>0</v>
      </c>
    </row>
    <row r="63" spans="2:9" ht="15" customHeight="1" x14ac:dyDescent="0.2">
      <c r="B63" t="s">
        <v>158</v>
      </c>
      <c r="C63" s="12">
        <v>42</v>
      </c>
      <c r="D63" s="8">
        <v>1.39</v>
      </c>
      <c r="E63" s="12">
        <v>25</v>
      </c>
      <c r="F63" s="8">
        <v>1.95</v>
      </c>
      <c r="G63" s="12">
        <v>17</v>
      </c>
      <c r="H63" s="8">
        <v>0.98</v>
      </c>
      <c r="I63" s="12">
        <v>0</v>
      </c>
    </row>
    <row r="64" spans="2:9" ht="15" customHeight="1" x14ac:dyDescent="0.2">
      <c r="B64" t="s">
        <v>198</v>
      </c>
      <c r="C64" s="12">
        <v>39</v>
      </c>
      <c r="D64" s="8">
        <v>1.29</v>
      </c>
      <c r="E64" s="12">
        <v>11</v>
      </c>
      <c r="F64" s="8">
        <v>0.86</v>
      </c>
      <c r="G64" s="12">
        <v>28</v>
      </c>
      <c r="H64" s="8">
        <v>1.61</v>
      </c>
      <c r="I64" s="12">
        <v>0</v>
      </c>
    </row>
    <row r="65" spans="2:9" ht="15" customHeight="1" x14ac:dyDescent="0.2">
      <c r="B65" t="s">
        <v>170</v>
      </c>
      <c r="C65" s="12">
        <v>39</v>
      </c>
      <c r="D65" s="8">
        <v>1.29</v>
      </c>
      <c r="E65" s="12">
        <v>33</v>
      </c>
      <c r="F65" s="8">
        <v>2.57</v>
      </c>
      <c r="G65" s="12">
        <v>6</v>
      </c>
      <c r="H65" s="8">
        <v>0.35</v>
      </c>
      <c r="I65" s="12">
        <v>0</v>
      </c>
    </row>
    <row r="66" spans="2:9" ht="15" customHeight="1" x14ac:dyDescent="0.2">
      <c r="B66" t="s">
        <v>222</v>
      </c>
      <c r="C66" s="12">
        <v>39</v>
      </c>
      <c r="D66" s="8">
        <v>1.29</v>
      </c>
      <c r="E66" s="12">
        <v>1</v>
      </c>
      <c r="F66" s="8">
        <v>0.08</v>
      </c>
      <c r="G66" s="12">
        <v>38</v>
      </c>
      <c r="H66" s="8">
        <v>2.19</v>
      </c>
      <c r="I66" s="12">
        <v>0</v>
      </c>
    </row>
    <row r="67" spans="2:9" ht="15" customHeight="1" x14ac:dyDescent="0.2">
      <c r="B67" t="s">
        <v>174</v>
      </c>
      <c r="C67" s="12">
        <v>38</v>
      </c>
      <c r="D67" s="8">
        <v>1.26</v>
      </c>
      <c r="E67" s="12">
        <v>35</v>
      </c>
      <c r="F67" s="8">
        <v>2.73</v>
      </c>
      <c r="G67" s="12">
        <v>3</v>
      </c>
      <c r="H67" s="8">
        <v>0.17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4939-9090-4540-82D7-84A20CDCFB0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427</v>
      </c>
      <c r="D6" s="8">
        <v>17.07</v>
      </c>
      <c r="E6" s="12">
        <v>189</v>
      </c>
      <c r="F6" s="8">
        <v>14.63</v>
      </c>
      <c r="G6" s="12">
        <v>238</v>
      </c>
      <c r="H6" s="8">
        <v>19.77</v>
      </c>
      <c r="I6" s="12">
        <v>0</v>
      </c>
    </row>
    <row r="7" spans="2:9" ht="15" customHeight="1" x14ac:dyDescent="0.2">
      <c r="B7" t="s">
        <v>67</v>
      </c>
      <c r="C7" s="12">
        <v>322</v>
      </c>
      <c r="D7" s="8">
        <v>12.87</v>
      </c>
      <c r="E7" s="12">
        <v>118</v>
      </c>
      <c r="F7" s="8">
        <v>9.1300000000000008</v>
      </c>
      <c r="G7" s="12">
        <v>204</v>
      </c>
      <c r="H7" s="8">
        <v>16.940000000000001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25</v>
      </c>
      <c r="D9" s="8">
        <v>1</v>
      </c>
      <c r="E9" s="12">
        <v>3</v>
      </c>
      <c r="F9" s="8">
        <v>0.23</v>
      </c>
      <c r="G9" s="12">
        <v>22</v>
      </c>
      <c r="H9" s="8">
        <v>1.83</v>
      </c>
      <c r="I9" s="12">
        <v>0</v>
      </c>
    </row>
    <row r="10" spans="2:9" ht="15" customHeight="1" x14ac:dyDescent="0.2">
      <c r="B10" t="s">
        <v>70</v>
      </c>
      <c r="C10" s="12">
        <v>18</v>
      </c>
      <c r="D10" s="8">
        <v>0.72</v>
      </c>
      <c r="E10" s="12">
        <v>0</v>
      </c>
      <c r="F10" s="8">
        <v>0</v>
      </c>
      <c r="G10" s="12">
        <v>18</v>
      </c>
      <c r="H10" s="8">
        <v>1.5</v>
      </c>
      <c r="I10" s="12">
        <v>0</v>
      </c>
    </row>
    <row r="11" spans="2:9" ht="15" customHeight="1" x14ac:dyDescent="0.2">
      <c r="B11" t="s">
        <v>71</v>
      </c>
      <c r="C11" s="12">
        <v>496</v>
      </c>
      <c r="D11" s="8">
        <v>19.829999999999998</v>
      </c>
      <c r="E11" s="12">
        <v>236</v>
      </c>
      <c r="F11" s="8">
        <v>18.27</v>
      </c>
      <c r="G11" s="12">
        <v>260</v>
      </c>
      <c r="H11" s="8">
        <v>21.59</v>
      </c>
      <c r="I11" s="12">
        <v>0</v>
      </c>
    </row>
    <row r="12" spans="2:9" ht="15" customHeight="1" x14ac:dyDescent="0.2">
      <c r="B12" t="s">
        <v>72</v>
      </c>
      <c r="C12" s="12">
        <v>18</v>
      </c>
      <c r="D12" s="8">
        <v>0.72</v>
      </c>
      <c r="E12" s="12">
        <v>1</v>
      </c>
      <c r="F12" s="8">
        <v>0.08</v>
      </c>
      <c r="G12" s="12">
        <v>17</v>
      </c>
      <c r="H12" s="8">
        <v>1.41</v>
      </c>
      <c r="I12" s="12">
        <v>0</v>
      </c>
    </row>
    <row r="13" spans="2:9" ht="15" customHeight="1" x14ac:dyDescent="0.2">
      <c r="B13" t="s">
        <v>73</v>
      </c>
      <c r="C13" s="12">
        <v>192</v>
      </c>
      <c r="D13" s="8">
        <v>7.68</v>
      </c>
      <c r="E13" s="12">
        <v>34</v>
      </c>
      <c r="F13" s="8">
        <v>2.63</v>
      </c>
      <c r="G13" s="12">
        <v>156</v>
      </c>
      <c r="H13" s="8">
        <v>12.96</v>
      </c>
      <c r="I13" s="12">
        <v>1</v>
      </c>
    </row>
    <row r="14" spans="2:9" ht="15" customHeight="1" x14ac:dyDescent="0.2">
      <c r="B14" t="s">
        <v>74</v>
      </c>
      <c r="C14" s="12">
        <v>115</v>
      </c>
      <c r="D14" s="8">
        <v>4.5999999999999996</v>
      </c>
      <c r="E14" s="12">
        <v>56</v>
      </c>
      <c r="F14" s="8">
        <v>4.33</v>
      </c>
      <c r="G14" s="12">
        <v>59</v>
      </c>
      <c r="H14" s="8">
        <v>4.9000000000000004</v>
      </c>
      <c r="I14" s="12">
        <v>0</v>
      </c>
    </row>
    <row r="15" spans="2:9" ht="15" customHeight="1" x14ac:dyDescent="0.2">
      <c r="B15" t="s">
        <v>75</v>
      </c>
      <c r="C15" s="12">
        <v>312</v>
      </c>
      <c r="D15" s="8">
        <v>12.48</v>
      </c>
      <c r="E15" s="12">
        <v>271</v>
      </c>
      <c r="F15" s="8">
        <v>20.98</v>
      </c>
      <c r="G15" s="12">
        <v>40</v>
      </c>
      <c r="H15" s="8">
        <v>3.32</v>
      </c>
      <c r="I15" s="12">
        <v>1</v>
      </c>
    </row>
    <row r="16" spans="2:9" ht="15" customHeight="1" x14ac:dyDescent="0.2">
      <c r="B16" t="s">
        <v>76</v>
      </c>
      <c r="C16" s="12">
        <v>283</v>
      </c>
      <c r="D16" s="8">
        <v>11.32</v>
      </c>
      <c r="E16" s="12">
        <v>219</v>
      </c>
      <c r="F16" s="8">
        <v>16.95</v>
      </c>
      <c r="G16" s="12">
        <v>64</v>
      </c>
      <c r="H16" s="8">
        <v>5.32</v>
      </c>
      <c r="I16" s="12">
        <v>0</v>
      </c>
    </row>
    <row r="17" spans="2:9" ht="15" customHeight="1" x14ac:dyDescent="0.2">
      <c r="B17" t="s">
        <v>77</v>
      </c>
      <c r="C17" s="12">
        <v>95</v>
      </c>
      <c r="D17" s="8">
        <v>3.8</v>
      </c>
      <c r="E17" s="12">
        <v>64</v>
      </c>
      <c r="F17" s="8">
        <v>4.95</v>
      </c>
      <c r="G17" s="12">
        <v>31</v>
      </c>
      <c r="H17" s="8">
        <v>2.57</v>
      </c>
      <c r="I17" s="12">
        <v>0</v>
      </c>
    </row>
    <row r="18" spans="2:9" ht="15" customHeight="1" x14ac:dyDescent="0.2">
      <c r="B18" t="s">
        <v>78</v>
      </c>
      <c r="C18" s="12">
        <v>119</v>
      </c>
      <c r="D18" s="8">
        <v>4.76</v>
      </c>
      <c r="E18" s="12">
        <v>71</v>
      </c>
      <c r="F18" s="8">
        <v>5.5</v>
      </c>
      <c r="G18" s="12">
        <v>48</v>
      </c>
      <c r="H18" s="8">
        <v>3.99</v>
      </c>
      <c r="I18" s="12">
        <v>0</v>
      </c>
    </row>
    <row r="19" spans="2:9" ht="15" customHeight="1" x14ac:dyDescent="0.2">
      <c r="B19" t="s">
        <v>79</v>
      </c>
      <c r="C19" s="12">
        <v>79</v>
      </c>
      <c r="D19" s="8">
        <v>3.16</v>
      </c>
      <c r="E19" s="12">
        <v>30</v>
      </c>
      <c r="F19" s="8">
        <v>2.3199999999999998</v>
      </c>
      <c r="G19" s="12">
        <v>47</v>
      </c>
      <c r="H19" s="8">
        <v>3.9</v>
      </c>
      <c r="I19" s="12">
        <v>0</v>
      </c>
    </row>
    <row r="20" spans="2:9" ht="15" customHeight="1" x14ac:dyDescent="0.2">
      <c r="B20" s="9" t="s">
        <v>280</v>
      </c>
      <c r="C20" s="12">
        <f>SUM(LTBL_13205[総数／事業所数])</f>
        <v>2501</v>
      </c>
      <c r="E20" s="12">
        <f>SUBTOTAL(109,LTBL_13205[個人／事業所数])</f>
        <v>1292</v>
      </c>
      <c r="G20" s="12">
        <f>SUBTOTAL(109,LTBL_13205[法人／事業所数])</f>
        <v>1204</v>
      </c>
      <c r="I20" s="12">
        <f>SUBTOTAL(109,LTBL_13205[法人以外の団体／事業所数])</f>
        <v>2</v>
      </c>
    </row>
    <row r="21" spans="2:9" ht="15" customHeight="1" x14ac:dyDescent="0.2">
      <c r="E21" s="11">
        <f>LTBL_13205[[#Totals],[個人／事業所数]]/LTBL_13205[[#Totals],[総数／事業所数]]</f>
        <v>0.51659336265493805</v>
      </c>
      <c r="G21" s="11">
        <f>LTBL_13205[[#Totals],[法人／事業所数]]/LTBL_13205[[#Totals],[総数／事業所数]]</f>
        <v>0.4814074370251899</v>
      </c>
      <c r="I21" s="11">
        <f>LTBL_13205[[#Totals],[法人以外の団体／事業所数]]/LTBL_13205[[#Totals],[総数／事業所数]]</f>
        <v>7.9968012794882047E-4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280</v>
      </c>
      <c r="D24" s="8">
        <v>11.2</v>
      </c>
      <c r="E24" s="12">
        <v>251</v>
      </c>
      <c r="F24" s="8">
        <v>19.43</v>
      </c>
      <c r="G24" s="12">
        <v>28</v>
      </c>
      <c r="H24" s="8">
        <v>2.33</v>
      </c>
      <c r="I24" s="12">
        <v>1</v>
      </c>
    </row>
    <row r="25" spans="2:9" ht="15" customHeight="1" x14ac:dyDescent="0.2">
      <c r="B25" t="s">
        <v>104</v>
      </c>
      <c r="C25" s="12">
        <v>236</v>
      </c>
      <c r="D25" s="8">
        <v>9.44</v>
      </c>
      <c r="E25" s="12">
        <v>199</v>
      </c>
      <c r="F25" s="8">
        <v>15.4</v>
      </c>
      <c r="G25" s="12">
        <v>37</v>
      </c>
      <c r="H25" s="8">
        <v>3.07</v>
      </c>
      <c r="I25" s="12">
        <v>0</v>
      </c>
    </row>
    <row r="26" spans="2:9" ht="15" customHeight="1" x14ac:dyDescent="0.2">
      <c r="B26" t="s">
        <v>88</v>
      </c>
      <c r="C26" s="12">
        <v>177</v>
      </c>
      <c r="D26" s="8">
        <v>7.08</v>
      </c>
      <c r="E26" s="12">
        <v>69</v>
      </c>
      <c r="F26" s="8">
        <v>5.34</v>
      </c>
      <c r="G26" s="12">
        <v>108</v>
      </c>
      <c r="H26" s="8">
        <v>8.9700000000000006</v>
      </c>
      <c r="I26" s="12">
        <v>0</v>
      </c>
    </row>
    <row r="27" spans="2:9" ht="15" customHeight="1" x14ac:dyDescent="0.2">
      <c r="B27" t="s">
        <v>100</v>
      </c>
      <c r="C27" s="12">
        <v>160</v>
      </c>
      <c r="D27" s="8">
        <v>6.4</v>
      </c>
      <c r="E27" s="12">
        <v>32</v>
      </c>
      <c r="F27" s="8">
        <v>2.48</v>
      </c>
      <c r="G27" s="12">
        <v>126</v>
      </c>
      <c r="H27" s="8">
        <v>10.47</v>
      </c>
      <c r="I27" s="12">
        <v>1</v>
      </c>
    </row>
    <row r="28" spans="2:9" ht="15" customHeight="1" x14ac:dyDescent="0.2">
      <c r="B28" t="s">
        <v>89</v>
      </c>
      <c r="C28" s="12">
        <v>153</v>
      </c>
      <c r="D28" s="8">
        <v>6.12</v>
      </c>
      <c r="E28" s="12">
        <v>89</v>
      </c>
      <c r="F28" s="8">
        <v>6.89</v>
      </c>
      <c r="G28" s="12">
        <v>64</v>
      </c>
      <c r="H28" s="8">
        <v>5.32</v>
      </c>
      <c r="I28" s="12">
        <v>0</v>
      </c>
    </row>
    <row r="29" spans="2:9" ht="15" customHeight="1" x14ac:dyDescent="0.2">
      <c r="B29" t="s">
        <v>98</v>
      </c>
      <c r="C29" s="12">
        <v>142</v>
      </c>
      <c r="D29" s="8">
        <v>5.68</v>
      </c>
      <c r="E29" s="12">
        <v>73</v>
      </c>
      <c r="F29" s="8">
        <v>5.65</v>
      </c>
      <c r="G29" s="12">
        <v>69</v>
      </c>
      <c r="H29" s="8">
        <v>5.73</v>
      </c>
      <c r="I29" s="12">
        <v>0</v>
      </c>
    </row>
    <row r="30" spans="2:9" ht="15" customHeight="1" x14ac:dyDescent="0.2">
      <c r="B30" t="s">
        <v>96</v>
      </c>
      <c r="C30" s="12">
        <v>98</v>
      </c>
      <c r="D30" s="8">
        <v>3.92</v>
      </c>
      <c r="E30" s="12">
        <v>73</v>
      </c>
      <c r="F30" s="8">
        <v>5.65</v>
      </c>
      <c r="G30" s="12">
        <v>25</v>
      </c>
      <c r="H30" s="8">
        <v>2.08</v>
      </c>
      <c r="I30" s="12">
        <v>0</v>
      </c>
    </row>
    <row r="31" spans="2:9" ht="15" customHeight="1" x14ac:dyDescent="0.2">
      <c r="B31" t="s">
        <v>90</v>
      </c>
      <c r="C31" s="12">
        <v>97</v>
      </c>
      <c r="D31" s="8">
        <v>3.88</v>
      </c>
      <c r="E31" s="12">
        <v>31</v>
      </c>
      <c r="F31" s="8">
        <v>2.4</v>
      </c>
      <c r="G31" s="12">
        <v>66</v>
      </c>
      <c r="H31" s="8">
        <v>5.48</v>
      </c>
      <c r="I31" s="12">
        <v>0</v>
      </c>
    </row>
    <row r="32" spans="2:9" ht="15" customHeight="1" x14ac:dyDescent="0.2">
      <c r="B32" t="s">
        <v>105</v>
      </c>
      <c r="C32" s="12">
        <v>95</v>
      </c>
      <c r="D32" s="8">
        <v>3.8</v>
      </c>
      <c r="E32" s="12">
        <v>64</v>
      </c>
      <c r="F32" s="8">
        <v>4.95</v>
      </c>
      <c r="G32" s="12">
        <v>31</v>
      </c>
      <c r="H32" s="8">
        <v>2.57</v>
      </c>
      <c r="I32" s="12">
        <v>0</v>
      </c>
    </row>
    <row r="33" spans="2:9" ht="15" customHeight="1" x14ac:dyDescent="0.2">
      <c r="B33" t="s">
        <v>106</v>
      </c>
      <c r="C33" s="12">
        <v>87</v>
      </c>
      <c r="D33" s="8">
        <v>3.48</v>
      </c>
      <c r="E33" s="12">
        <v>71</v>
      </c>
      <c r="F33" s="8">
        <v>5.5</v>
      </c>
      <c r="G33" s="12">
        <v>16</v>
      </c>
      <c r="H33" s="8">
        <v>1.33</v>
      </c>
      <c r="I33" s="12">
        <v>0</v>
      </c>
    </row>
    <row r="34" spans="2:9" ht="15" customHeight="1" x14ac:dyDescent="0.2">
      <c r="B34" t="s">
        <v>97</v>
      </c>
      <c r="C34" s="12">
        <v>84</v>
      </c>
      <c r="D34" s="8">
        <v>3.36</v>
      </c>
      <c r="E34" s="12">
        <v>42</v>
      </c>
      <c r="F34" s="8">
        <v>3.25</v>
      </c>
      <c r="G34" s="12">
        <v>42</v>
      </c>
      <c r="H34" s="8">
        <v>3.49</v>
      </c>
      <c r="I34" s="12">
        <v>0</v>
      </c>
    </row>
    <row r="35" spans="2:9" ht="15" customHeight="1" x14ac:dyDescent="0.2">
      <c r="B35" t="s">
        <v>101</v>
      </c>
      <c r="C35" s="12">
        <v>57</v>
      </c>
      <c r="D35" s="8">
        <v>2.2799999999999998</v>
      </c>
      <c r="E35" s="12">
        <v>31</v>
      </c>
      <c r="F35" s="8">
        <v>2.4</v>
      </c>
      <c r="G35" s="12">
        <v>26</v>
      </c>
      <c r="H35" s="8">
        <v>2.16</v>
      </c>
      <c r="I35" s="12">
        <v>0</v>
      </c>
    </row>
    <row r="36" spans="2:9" ht="15" customHeight="1" x14ac:dyDescent="0.2">
      <c r="B36" t="s">
        <v>102</v>
      </c>
      <c r="C36" s="12">
        <v>53</v>
      </c>
      <c r="D36" s="8">
        <v>2.12</v>
      </c>
      <c r="E36" s="12">
        <v>25</v>
      </c>
      <c r="F36" s="8">
        <v>1.93</v>
      </c>
      <c r="G36" s="12">
        <v>28</v>
      </c>
      <c r="H36" s="8">
        <v>2.33</v>
      </c>
      <c r="I36" s="12">
        <v>0</v>
      </c>
    </row>
    <row r="37" spans="2:9" ht="15" customHeight="1" x14ac:dyDescent="0.2">
      <c r="B37" t="s">
        <v>121</v>
      </c>
      <c r="C37" s="12">
        <v>50</v>
      </c>
      <c r="D37" s="8">
        <v>2</v>
      </c>
      <c r="E37" s="12">
        <v>10</v>
      </c>
      <c r="F37" s="8">
        <v>0.77</v>
      </c>
      <c r="G37" s="12">
        <v>40</v>
      </c>
      <c r="H37" s="8">
        <v>3.32</v>
      </c>
      <c r="I37" s="12">
        <v>0</v>
      </c>
    </row>
    <row r="38" spans="2:9" ht="15" customHeight="1" x14ac:dyDescent="0.2">
      <c r="B38" t="s">
        <v>119</v>
      </c>
      <c r="C38" s="12">
        <v>45</v>
      </c>
      <c r="D38" s="8">
        <v>1.8</v>
      </c>
      <c r="E38" s="12">
        <v>17</v>
      </c>
      <c r="F38" s="8">
        <v>1.32</v>
      </c>
      <c r="G38" s="12">
        <v>28</v>
      </c>
      <c r="H38" s="8">
        <v>2.33</v>
      </c>
      <c r="I38" s="12">
        <v>0</v>
      </c>
    </row>
    <row r="39" spans="2:9" ht="15" customHeight="1" x14ac:dyDescent="0.2">
      <c r="B39" t="s">
        <v>95</v>
      </c>
      <c r="C39" s="12">
        <v>44</v>
      </c>
      <c r="D39" s="8">
        <v>1.76</v>
      </c>
      <c r="E39" s="12">
        <v>21</v>
      </c>
      <c r="F39" s="8">
        <v>1.63</v>
      </c>
      <c r="G39" s="12">
        <v>23</v>
      </c>
      <c r="H39" s="8">
        <v>1.91</v>
      </c>
      <c r="I39" s="12">
        <v>0</v>
      </c>
    </row>
    <row r="40" spans="2:9" ht="15" customHeight="1" x14ac:dyDescent="0.2">
      <c r="B40" t="s">
        <v>133</v>
      </c>
      <c r="C40" s="12">
        <v>41</v>
      </c>
      <c r="D40" s="8">
        <v>1.64</v>
      </c>
      <c r="E40" s="12">
        <v>24</v>
      </c>
      <c r="F40" s="8">
        <v>1.86</v>
      </c>
      <c r="G40" s="12">
        <v>17</v>
      </c>
      <c r="H40" s="8">
        <v>1.41</v>
      </c>
      <c r="I40" s="12">
        <v>0</v>
      </c>
    </row>
    <row r="41" spans="2:9" ht="15" customHeight="1" x14ac:dyDescent="0.2">
      <c r="B41" t="s">
        <v>115</v>
      </c>
      <c r="C41" s="12">
        <v>34</v>
      </c>
      <c r="D41" s="8">
        <v>1.36</v>
      </c>
      <c r="E41" s="12">
        <v>14</v>
      </c>
      <c r="F41" s="8">
        <v>1.08</v>
      </c>
      <c r="G41" s="12">
        <v>20</v>
      </c>
      <c r="H41" s="8">
        <v>1.66</v>
      </c>
      <c r="I41" s="12">
        <v>0</v>
      </c>
    </row>
    <row r="42" spans="2:9" ht="15" customHeight="1" x14ac:dyDescent="0.2">
      <c r="B42" t="s">
        <v>132</v>
      </c>
      <c r="C42" s="12">
        <v>32</v>
      </c>
      <c r="D42" s="8">
        <v>1.28</v>
      </c>
      <c r="E42" s="12">
        <v>0</v>
      </c>
      <c r="F42" s="8">
        <v>0</v>
      </c>
      <c r="G42" s="12">
        <v>32</v>
      </c>
      <c r="H42" s="8">
        <v>2.66</v>
      </c>
      <c r="I42" s="12">
        <v>0</v>
      </c>
    </row>
    <row r="43" spans="2:9" ht="15" customHeight="1" x14ac:dyDescent="0.2">
      <c r="B43" t="s">
        <v>124</v>
      </c>
      <c r="C43" s="12">
        <v>30</v>
      </c>
      <c r="D43" s="8">
        <v>1.2</v>
      </c>
      <c r="E43" s="12">
        <v>13</v>
      </c>
      <c r="F43" s="8">
        <v>1.01</v>
      </c>
      <c r="G43" s="12">
        <v>17</v>
      </c>
      <c r="H43" s="8">
        <v>1.41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99</v>
      </c>
      <c r="D47" s="8">
        <v>3.96</v>
      </c>
      <c r="E47" s="12">
        <v>91</v>
      </c>
      <c r="F47" s="8">
        <v>7.04</v>
      </c>
      <c r="G47" s="12">
        <v>8</v>
      </c>
      <c r="H47" s="8">
        <v>0.66</v>
      </c>
      <c r="I47" s="12">
        <v>0</v>
      </c>
    </row>
    <row r="48" spans="2:9" ht="15" customHeight="1" x14ac:dyDescent="0.2">
      <c r="B48" t="s">
        <v>171</v>
      </c>
      <c r="C48" s="12">
        <v>83</v>
      </c>
      <c r="D48" s="8">
        <v>3.32</v>
      </c>
      <c r="E48" s="12">
        <v>77</v>
      </c>
      <c r="F48" s="8">
        <v>5.96</v>
      </c>
      <c r="G48" s="12">
        <v>6</v>
      </c>
      <c r="H48" s="8">
        <v>0.5</v>
      </c>
      <c r="I48" s="12">
        <v>0</v>
      </c>
    </row>
    <row r="49" spans="2:9" ht="15" customHeight="1" x14ac:dyDescent="0.2">
      <c r="B49" t="s">
        <v>162</v>
      </c>
      <c r="C49" s="12">
        <v>75</v>
      </c>
      <c r="D49" s="8">
        <v>3</v>
      </c>
      <c r="E49" s="12">
        <v>20</v>
      </c>
      <c r="F49" s="8">
        <v>1.55</v>
      </c>
      <c r="G49" s="12">
        <v>54</v>
      </c>
      <c r="H49" s="8">
        <v>4.49</v>
      </c>
      <c r="I49" s="12">
        <v>0</v>
      </c>
    </row>
    <row r="50" spans="2:9" ht="15" customHeight="1" x14ac:dyDescent="0.2">
      <c r="B50" t="s">
        <v>169</v>
      </c>
      <c r="C50" s="12">
        <v>73</v>
      </c>
      <c r="D50" s="8">
        <v>2.92</v>
      </c>
      <c r="E50" s="12">
        <v>68</v>
      </c>
      <c r="F50" s="8">
        <v>5.26</v>
      </c>
      <c r="G50" s="12">
        <v>5</v>
      </c>
      <c r="H50" s="8">
        <v>0.42</v>
      </c>
      <c r="I50" s="12">
        <v>0</v>
      </c>
    </row>
    <row r="51" spans="2:9" ht="15" customHeight="1" x14ac:dyDescent="0.2">
      <c r="B51" t="s">
        <v>173</v>
      </c>
      <c r="C51" s="12">
        <v>63</v>
      </c>
      <c r="D51" s="8">
        <v>2.52</v>
      </c>
      <c r="E51" s="12">
        <v>51</v>
      </c>
      <c r="F51" s="8">
        <v>3.95</v>
      </c>
      <c r="G51" s="12">
        <v>12</v>
      </c>
      <c r="H51" s="8">
        <v>1</v>
      </c>
      <c r="I51" s="12">
        <v>0</v>
      </c>
    </row>
    <row r="52" spans="2:9" ht="15" customHeight="1" x14ac:dyDescent="0.2">
      <c r="B52" t="s">
        <v>168</v>
      </c>
      <c r="C52" s="12">
        <v>60</v>
      </c>
      <c r="D52" s="8">
        <v>2.4</v>
      </c>
      <c r="E52" s="12">
        <v>52</v>
      </c>
      <c r="F52" s="8">
        <v>4.0199999999999996</v>
      </c>
      <c r="G52" s="12">
        <v>8</v>
      </c>
      <c r="H52" s="8">
        <v>0.66</v>
      </c>
      <c r="I52" s="12">
        <v>0</v>
      </c>
    </row>
    <row r="53" spans="2:9" ht="15" customHeight="1" x14ac:dyDescent="0.2">
      <c r="B53" t="s">
        <v>223</v>
      </c>
      <c r="C53" s="12">
        <v>59</v>
      </c>
      <c r="D53" s="8">
        <v>2.36</v>
      </c>
      <c r="E53" s="12">
        <v>47</v>
      </c>
      <c r="F53" s="8">
        <v>3.64</v>
      </c>
      <c r="G53" s="12">
        <v>12</v>
      </c>
      <c r="H53" s="8">
        <v>1</v>
      </c>
      <c r="I53" s="12">
        <v>0</v>
      </c>
    </row>
    <row r="54" spans="2:9" ht="15" customHeight="1" x14ac:dyDescent="0.2">
      <c r="B54" t="s">
        <v>175</v>
      </c>
      <c r="C54" s="12">
        <v>59</v>
      </c>
      <c r="D54" s="8">
        <v>2.36</v>
      </c>
      <c r="E54" s="12">
        <v>50</v>
      </c>
      <c r="F54" s="8">
        <v>3.87</v>
      </c>
      <c r="G54" s="12">
        <v>9</v>
      </c>
      <c r="H54" s="8">
        <v>0.75</v>
      </c>
      <c r="I54" s="12">
        <v>0</v>
      </c>
    </row>
    <row r="55" spans="2:9" ht="15" customHeight="1" x14ac:dyDescent="0.2">
      <c r="B55" t="s">
        <v>221</v>
      </c>
      <c r="C55" s="12">
        <v>58</v>
      </c>
      <c r="D55" s="8">
        <v>2.3199999999999998</v>
      </c>
      <c r="E55" s="12">
        <v>27</v>
      </c>
      <c r="F55" s="8">
        <v>2.09</v>
      </c>
      <c r="G55" s="12">
        <v>31</v>
      </c>
      <c r="H55" s="8">
        <v>2.57</v>
      </c>
      <c r="I55" s="12">
        <v>0</v>
      </c>
    </row>
    <row r="56" spans="2:9" ht="15" customHeight="1" x14ac:dyDescent="0.2">
      <c r="B56" t="s">
        <v>220</v>
      </c>
      <c r="C56" s="12">
        <v>57</v>
      </c>
      <c r="D56" s="8">
        <v>2.2799999999999998</v>
      </c>
      <c r="E56" s="12">
        <v>7</v>
      </c>
      <c r="F56" s="8">
        <v>0.54</v>
      </c>
      <c r="G56" s="12">
        <v>50</v>
      </c>
      <c r="H56" s="8">
        <v>4.1500000000000004</v>
      </c>
      <c r="I56" s="12">
        <v>0</v>
      </c>
    </row>
    <row r="57" spans="2:9" ht="15" customHeight="1" x14ac:dyDescent="0.2">
      <c r="B57" t="s">
        <v>159</v>
      </c>
      <c r="C57" s="12">
        <v>51</v>
      </c>
      <c r="D57" s="8">
        <v>2.04</v>
      </c>
      <c r="E57" s="12">
        <v>34</v>
      </c>
      <c r="F57" s="8">
        <v>2.63</v>
      </c>
      <c r="G57" s="12">
        <v>17</v>
      </c>
      <c r="H57" s="8">
        <v>1.41</v>
      </c>
      <c r="I57" s="12">
        <v>0</v>
      </c>
    </row>
    <row r="58" spans="2:9" ht="15" customHeight="1" x14ac:dyDescent="0.2">
      <c r="B58" t="s">
        <v>192</v>
      </c>
      <c r="C58" s="12">
        <v>48</v>
      </c>
      <c r="D58" s="8">
        <v>1.92</v>
      </c>
      <c r="E58" s="12">
        <v>16</v>
      </c>
      <c r="F58" s="8">
        <v>1.24</v>
      </c>
      <c r="G58" s="12">
        <v>32</v>
      </c>
      <c r="H58" s="8">
        <v>2.66</v>
      </c>
      <c r="I58" s="12">
        <v>0</v>
      </c>
    </row>
    <row r="59" spans="2:9" ht="15" customHeight="1" x14ac:dyDescent="0.2">
      <c r="B59" t="s">
        <v>170</v>
      </c>
      <c r="C59" s="12">
        <v>46</v>
      </c>
      <c r="D59" s="8">
        <v>1.84</v>
      </c>
      <c r="E59" s="12">
        <v>42</v>
      </c>
      <c r="F59" s="8">
        <v>3.25</v>
      </c>
      <c r="G59" s="12">
        <v>4</v>
      </c>
      <c r="H59" s="8">
        <v>0.33</v>
      </c>
      <c r="I59" s="12">
        <v>0</v>
      </c>
    </row>
    <row r="60" spans="2:9" ht="15" customHeight="1" x14ac:dyDescent="0.2">
      <c r="B60" t="s">
        <v>158</v>
      </c>
      <c r="C60" s="12">
        <v>41</v>
      </c>
      <c r="D60" s="8">
        <v>1.64</v>
      </c>
      <c r="E60" s="12">
        <v>33</v>
      </c>
      <c r="F60" s="8">
        <v>2.5499999999999998</v>
      </c>
      <c r="G60" s="12">
        <v>8</v>
      </c>
      <c r="H60" s="8">
        <v>0.66</v>
      </c>
      <c r="I60" s="12">
        <v>0</v>
      </c>
    </row>
    <row r="61" spans="2:9" ht="15" customHeight="1" x14ac:dyDescent="0.2">
      <c r="B61" t="s">
        <v>224</v>
      </c>
      <c r="C61" s="12">
        <v>41</v>
      </c>
      <c r="D61" s="8">
        <v>1.64</v>
      </c>
      <c r="E61" s="12">
        <v>24</v>
      </c>
      <c r="F61" s="8">
        <v>1.86</v>
      </c>
      <c r="G61" s="12">
        <v>17</v>
      </c>
      <c r="H61" s="8">
        <v>1.41</v>
      </c>
      <c r="I61" s="12">
        <v>0</v>
      </c>
    </row>
    <row r="62" spans="2:9" ht="15" customHeight="1" x14ac:dyDescent="0.2">
      <c r="B62" t="s">
        <v>163</v>
      </c>
      <c r="C62" s="12">
        <v>39</v>
      </c>
      <c r="D62" s="8">
        <v>1.56</v>
      </c>
      <c r="E62" s="12">
        <v>1</v>
      </c>
      <c r="F62" s="8">
        <v>0.08</v>
      </c>
      <c r="G62" s="12">
        <v>37</v>
      </c>
      <c r="H62" s="8">
        <v>3.07</v>
      </c>
      <c r="I62" s="12">
        <v>1</v>
      </c>
    </row>
    <row r="63" spans="2:9" ht="15" customHeight="1" x14ac:dyDescent="0.2">
      <c r="B63" t="s">
        <v>191</v>
      </c>
      <c r="C63" s="12">
        <v>39</v>
      </c>
      <c r="D63" s="8">
        <v>1.56</v>
      </c>
      <c r="E63" s="12">
        <v>35</v>
      </c>
      <c r="F63" s="8">
        <v>2.71</v>
      </c>
      <c r="G63" s="12">
        <v>3</v>
      </c>
      <c r="H63" s="8">
        <v>0.25</v>
      </c>
      <c r="I63" s="12">
        <v>1</v>
      </c>
    </row>
    <row r="64" spans="2:9" ht="15" customHeight="1" x14ac:dyDescent="0.2">
      <c r="B64" t="s">
        <v>201</v>
      </c>
      <c r="C64" s="12">
        <v>38</v>
      </c>
      <c r="D64" s="8">
        <v>1.52</v>
      </c>
      <c r="E64" s="12">
        <v>14</v>
      </c>
      <c r="F64" s="8">
        <v>1.08</v>
      </c>
      <c r="G64" s="12">
        <v>24</v>
      </c>
      <c r="H64" s="8">
        <v>1.99</v>
      </c>
      <c r="I64" s="12">
        <v>0</v>
      </c>
    </row>
    <row r="65" spans="2:9" ht="15" customHeight="1" x14ac:dyDescent="0.2">
      <c r="B65" t="s">
        <v>205</v>
      </c>
      <c r="C65" s="12">
        <v>32</v>
      </c>
      <c r="D65" s="8">
        <v>1.28</v>
      </c>
      <c r="E65" s="12">
        <v>25</v>
      </c>
      <c r="F65" s="8">
        <v>1.93</v>
      </c>
      <c r="G65" s="12">
        <v>7</v>
      </c>
      <c r="H65" s="8">
        <v>0.57999999999999996</v>
      </c>
      <c r="I65" s="12">
        <v>0</v>
      </c>
    </row>
    <row r="66" spans="2:9" ht="15" customHeight="1" x14ac:dyDescent="0.2">
      <c r="B66" t="s">
        <v>197</v>
      </c>
      <c r="C66" s="12">
        <v>32</v>
      </c>
      <c r="D66" s="8">
        <v>1.28</v>
      </c>
      <c r="E66" s="12">
        <v>16</v>
      </c>
      <c r="F66" s="8">
        <v>1.24</v>
      </c>
      <c r="G66" s="12">
        <v>16</v>
      </c>
      <c r="H66" s="8">
        <v>1.33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520B-EFD7-4E5D-948C-F9295A34D56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674</v>
      </c>
      <c r="D6" s="8">
        <v>16.440000000000001</v>
      </c>
      <c r="E6" s="12">
        <v>92</v>
      </c>
      <c r="F6" s="8">
        <v>6.08</v>
      </c>
      <c r="G6" s="12">
        <v>581</v>
      </c>
      <c r="H6" s="8">
        <v>22.55</v>
      </c>
      <c r="I6" s="12">
        <v>1</v>
      </c>
    </row>
    <row r="7" spans="2:9" ht="15" customHeight="1" x14ac:dyDescent="0.2">
      <c r="B7" t="s">
        <v>67</v>
      </c>
      <c r="C7" s="12">
        <v>193</v>
      </c>
      <c r="D7" s="8">
        <v>4.71</v>
      </c>
      <c r="E7" s="12">
        <v>29</v>
      </c>
      <c r="F7" s="8">
        <v>1.92</v>
      </c>
      <c r="G7" s="12">
        <v>164</v>
      </c>
      <c r="H7" s="8">
        <v>6.37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2">
      <c r="B9" t="s">
        <v>69</v>
      </c>
      <c r="C9" s="12">
        <v>119</v>
      </c>
      <c r="D9" s="8">
        <v>2.9</v>
      </c>
      <c r="E9" s="12">
        <v>8</v>
      </c>
      <c r="F9" s="8">
        <v>0.53</v>
      </c>
      <c r="G9" s="12">
        <v>111</v>
      </c>
      <c r="H9" s="8">
        <v>4.3099999999999996</v>
      </c>
      <c r="I9" s="12">
        <v>0</v>
      </c>
    </row>
    <row r="10" spans="2:9" ht="15" customHeight="1" x14ac:dyDescent="0.2">
      <c r="B10" t="s">
        <v>70</v>
      </c>
      <c r="C10" s="12">
        <v>31</v>
      </c>
      <c r="D10" s="8">
        <v>0.76</v>
      </c>
      <c r="E10" s="12">
        <v>1</v>
      </c>
      <c r="F10" s="8">
        <v>7.0000000000000007E-2</v>
      </c>
      <c r="G10" s="12">
        <v>30</v>
      </c>
      <c r="H10" s="8">
        <v>1.1599999999999999</v>
      </c>
      <c r="I10" s="12">
        <v>0</v>
      </c>
    </row>
    <row r="11" spans="2:9" ht="15" customHeight="1" x14ac:dyDescent="0.2">
      <c r="B11" t="s">
        <v>71</v>
      </c>
      <c r="C11" s="12">
        <v>728</v>
      </c>
      <c r="D11" s="8">
        <v>17.75</v>
      </c>
      <c r="E11" s="12">
        <v>216</v>
      </c>
      <c r="F11" s="8">
        <v>14.27</v>
      </c>
      <c r="G11" s="12">
        <v>511</v>
      </c>
      <c r="H11" s="8">
        <v>19.84</v>
      </c>
      <c r="I11" s="12">
        <v>1</v>
      </c>
    </row>
    <row r="12" spans="2:9" ht="15" customHeight="1" x14ac:dyDescent="0.2">
      <c r="B12" t="s">
        <v>72</v>
      </c>
      <c r="C12" s="12">
        <v>32</v>
      </c>
      <c r="D12" s="8">
        <v>0.78</v>
      </c>
      <c r="E12" s="12">
        <v>3</v>
      </c>
      <c r="F12" s="8">
        <v>0.2</v>
      </c>
      <c r="G12" s="12">
        <v>29</v>
      </c>
      <c r="H12" s="8">
        <v>1.1299999999999999</v>
      </c>
      <c r="I12" s="12">
        <v>0</v>
      </c>
    </row>
    <row r="13" spans="2:9" ht="15" customHeight="1" x14ac:dyDescent="0.2">
      <c r="B13" t="s">
        <v>73</v>
      </c>
      <c r="C13" s="12">
        <v>679</v>
      </c>
      <c r="D13" s="8">
        <v>16.559999999999999</v>
      </c>
      <c r="E13" s="12">
        <v>193</v>
      </c>
      <c r="F13" s="8">
        <v>12.75</v>
      </c>
      <c r="G13" s="12">
        <v>484</v>
      </c>
      <c r="H13" s="8">
        <v>18.79</v>
      </c>
      <c r="I13" s="12">
        <v>0</v>
      </c>
    </row>
    <row r="14" spans="2:9" ht="15" customHeight="1" x14ac:dyDescent="0.2">
      <c r="B14" t="s">
        <v>74</v>
      </c>
      <c r="C14" s="12">
        <v>271</v>
      </c>
      <c r="D14" s="8">
        <v>6.61</v>
      </c>
      <c r="E14" s="12">
        <v>109</v>
      </c>
      <c r="F14" s="8">
        <v>7.2</v>
      </c>
      <c r="G14" s="12">
        <v>160</v>
      </c>
      <c r="H14" s="8">
        <v>6.21</v>
      </c>
      <c r="I14" s="12">
        <v>1</v>
      </c>
    </row>
    <row r="15" spans="2:9" ht="15" customHeight="1" x14ac:dyDescent="0.2">
      <c r="B15" t="s">
        <v>75</v>
      </c>
      <c r="C15" s="12">
        <v>407</v>
      </c>
      <c r="D15" s="8">
        <v>9.92</v>
      </c>
      <c r="E15" s="12">
        <v>291</v>
      </c>
      <c r="F15" s="8">
        <v>19.22</v>
      </c>
      <c r="G15" s="12">
        <v>116</v>
      </c>
      <c r="H15" s="8">
        <v>4.5</v>
      </c>
      <c r="I15" s="12">
        <v>0</v>
      </c>
    </row>
    <row r="16" spans="2:9" ht="15" customHeight="1" x14ac:dyDescent="0.2">
      <c r="B16" t="s">
        <v>76</v>
      </c>
      <c r="C16" s="12">
        <v>438</v>
      </c>
      <c r="D16" s="8">
        <v>10.68</v>
      </c>
      <c r="E16" s="12">
        <v>294</v>
      </c>
      <c r="F16" s="8">
        <v>19.420000000000002</v>
      </c>
      <c r="G16" s="12">
        <v>142</v>
      </c>
      <c r="H16" s="8">
        <v>5.51</v>
      </c>
      <c r="I16" s="12">
        <v>0</v>
      </c>
    </row>
    <row r="17" spans="2:9" ht="15" customHeight="1" x14ac:dyDescent="0.2">
      <c r="B17" t="s">
        <v>77</v>
      </c>
      <c r="C17" s="12">
        <v>159</v>
      </c>
      <c r="D17" s="8">
        <v>3.88</v>
      </c>
      <c r="E17" s="12">
        <v>91</v>
      </c>
      <c r="F17" s="8">
        <v>6.01</v>
      </c>
      <c r="G17" s="12">
        <v>67</v>
      </c>
      <c r="H17" s="8">
        <v>2.6</v>
      </c>
      <c r="I17" s="12">
        <v>0</v>
      </c>
    </row>
    <row r="18" spans="2:9" ht="15" customHeight="1" x14ac:dyDescent="0.2">
      <c r="B18" t="s">
        <v>78</v>
      </c>
      <c r="C18" s="12">
        <v>242</v>
      </c>
      <c r="D18" s="8">
        <v>5.9</v>
      </c>
      <c r="E18" s="12">
        <v>162</v>
      </c>
      <c r="F18" s="8">
        <v>10.7</v>
      </c>
      <c r="G18" s="12">
        <v>80</v>
      </c>
      <c r="H18" s="8">
        <v>3.11</v>
      </c>
      <c r="I18" s="12">
        <v>0</v>
      </c>
    </row>
    <row r="19" spans="2:9" ht="15" customHeight="1" x14ac:dyDescent="0.2">
      <c r="B19" t="s">
        <v>79</v>
      </c>
      <c r="C19" s="12">
        <v>127</v>
      </c>
      <c r="D19" s="8">
        <v>3.1</v>
      </c>
      <c r="E19" s="12">
        <v>25</v>
      </c>
      <c r="F19" s="8">
        <v>1.65</v>
      </c>
      <c r="G19" s="12">
        <v>100</v>
      </c>
      <c r="H19" s="8">
        <v>3.88</v>
      </c>
      <c r="I19" s="12">
        <v>0</v>
      </c>
    </row>
    <row r="20" spans="2:9" ht="15" customHeight="1" x14ac:dyDescent="0.2">
      <c r="B20" s="9" t="s">
        <v>280</v>
      </c>
      <c r="C20" s="12">
        <f>SUM(LTBL_13206[総数／事業所数])</f>
        <v>4101</v>
      </c>
      <c r="E20" s="12">
        <f>SUBTOTAL(109,LTBL_13206[個人／事業所数])</f>
        <v>1514</v>
      </c>
      <c r="G20" s="12">
        <f>SUBTOTAL(109,LTBL_13206[法人／事業所数])</f>
        <v>2576</v>
      </c>
      <c r="I20" s="12">
        <f>SUBTOTAL(109,LTBL_13206[法人以外の団体／事業所数])</f>
        <v>3</v>
      </c>
    </row>
    <row r="21" spans="2:9" ht="15" customHeight="1" x14ac:dyDescent="0.2">
      <c r="E21" s="11">
        <f>LTBL_13206[[#Totals],[個人／事業所数]]/LTBL_13206[[#Totals],[総数／事業所数]]</f>
        <v>0.36917824920751036</v>
      </c>
      <c r="G21" s="11">
        <f>LTBL_13206[[#Totals],[法人／事業所数]]/LTBL_13206[[#Totals],[総数／事業所数]]</f>
        <v>0.62813947817605464</v>
      </c>
      <c r="I21" s="11">
        <f>LTBL_13206[[#Totals],[法人以外の団体／事業所数]]/LTBL_13206[[#Totals],[総数／事業所数]]</f>
        <v>7.3152889539136799E-4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576</v>
      </c>
      <c r="D24" s="8">
        <v>14.05</v>
      </c>
      <c r="E24" s="12">
        <v>184</v>
      </c>
      <c r="F24" s="8">
        <v>12.15</v>
      </c>
      <c r="G24" s="12">
        <v>390</v>
      </c>
      <c r="H24" s="8">
        <v>15.14</v>
      </c>
      <c r="I24" s="12">
        <v>0</v>
      </c>
    </row>
    <row r="25" spans="2:9" ht="15" customHeight="1" x14ac:dyDescent="0.2">
      <c r="B25" t="s">
        <v>103</v>
      </c>
      <c r="C25" s="12">
        <v>374</v>
      </c>
      <c r="D25" s="8">
        <v>9.1199999999999992</v>
      </c>
      <c r="E25" s="12">
        <v>287</v>
      </c>
      <c r="F25" s="8">
        <v>18.96</v>
      </c>
      <c r="G25" s="12">
        <v>87</v>
      </c>
      <c r="H25" s="8">
        <v>3.38</v>
      </c>
      <c r="I25" s="12">
        <v>0</v>
      </c>
    </row>
    <row r="26" spans="2:9" ht="15" customHeight="1" x14ac:dyDescent="0.2">
      <c r="B26" t="s">
        <v>104</v>
      </c>
      <c r="C26" s="12">
        <v>352</v>
      </c>
      <c r="D26" s="8">
        <v>8.58</v>
      </c>
      <c r="E26" s="12">
        <v>266</v>
      </c>
      <c r="F26" s="8">
        <v>17.57</v>
      </c>
      <c r="G26" s="12">
        <v>86</v>
      </c>
      <c r="H26" s="8">
        <v>3.34</v>
      </c>
      <c r="I26" s="12">
        <v>0</v>
      </c>
    </row>
    <row r="27" spans="2:9" ht="15" customHeight="1" x14ac:dyDescent="0.2">
      <c r="B27" t="s">
        <v>89</v>
      </c>
      <c r="C27" s="12">
        <v>266</v>
      </c>
      <c r="D27" s="8">
        <v>6.49</v>
      </c>
      <c r="E27" s="12">
        <v>53</v>
      </c>
      <c r="F27" s="8">
        <v>3.5</v>
      </c>
      <c r="G27" s="12">
        <v>213</v>
      </c>
      <c r="H27" s="8">
        <v>8.27</v>
      </c>
      <c r="I27" s="12">
        <v>0</v>
      </c>
    </row>
    <row r="28" spans="2:9" ht="15" customHeight="1" x14ac:dyDescent="0.2">
      <c r="B28" t="s">
        <v>98</v>
      </c>
      <c r="C28" s="12">
        <v>226</v>
      </c>
      <c r="D28" s="8">
        <v>5.51</v>
      </c>
      <c r="E28" s="12">
        <v>76</v>
      </c>
      <c r="F28" s="8">
        <v>5.0199999999999996</v>
      </c>
      <c r="G28" s="12">
        <v>150</v>
      </c>
      <c r="H28" s="8">
        <v>5.82</v>
      </c>
      <c r="I28" s="12">
        <v>0</v>
      </c>
    </row>
    <row r="29" spans="2:9" ht="15" customHeight="1" x14ac:dyDescent="0.2">
      <c r="B29" t="s">
        <v>88</v>
      </c>
      <c r="C29" s="12">
        <v>214</v>
      </c>
      <c r="D29" s="8">
        <v>5.22</v>
      </c>
      <c r="E29" s="12">
        <v>29</v>
      </c>
      <c r="F29" s="8">
        <v>1.92</v>
      </c>
      <c r="G29" s="12">
        <v>184</v>
      </c>
      <c r="H29" s="8">
        <v>7.14</v>
      </c>
      <c r="I29" s="12">
        <v>1</v>
      </c>
    </row>
    <row r="30" spans="2:9" ht="15" customHeight="1" x14ac:dyDescent="0.2">
      <c r="B30" t="s">
        <v>90</v>
      </c>
      <c r="C30" s="12">
        <v>194</v>
      </c>
      <c r="D30" s="8">
        <v>4.7300000000000004</v>
      </c>
      <c r="E30" s="12">
        <v>10</v>
      </c>
      <c r="F30" s="8">
        <v>0.66</v>
      </c>
      <c r="G30" s="12">
        <v>184</v>
      </c>
      <c r="H30" s="8">
        <v>7.14</v>
      </c>
      <c r="I30" s="12">
        <v>0</v>
      </c>
    </row>
    <row r="31" spans="2:9" ht="15" customHeight="1" x14ac:dyDescent="0.2">
      <c r="B31" t="s">
        <v>106</v>
      </c>
      <c r="C31" s="12">
        <v>187</v>
      </c>
      <c r="D31" s="8">
        <v>4.5599999999999996</v>
      </c>
      <c r="E31" s="12">
        <v>162</v>
      </c>
      <c r="F31" s="8">
        <v>10.7</v>
      </c>
      <c r="G31" s="12">
        <v>25</v>
      </c>
      <c r="H31" s="8">
        <v>0.97</v>
      </c>
      <c r="I31" s="12">
        <v>0</v>
      </c>
    </row>
    <row r="32" spans="2:9" ht="15" customHeight="1" x14ac:dyDescent="0.2">
      <c r="B32" t="s">
        <v>101</v>
      </c>
      <c r="C32" s="12">
        <v>163</v>
      </c>
      <c r="D32" s="8">
        <v>3.97</v>
      </c>
      <c r="E32" s="12">
        <v>84</v>
      </c>
      <c r="F32" s="8">
        <v>5.55</v>
      </c>
      <c r="G32" s="12">
        <v>79</v>
      </c>
      <c r="H32" s="8">
        <v>3.07</v>
      </c>
      <c r="I32" s="12">
        <v>0</v>
      </c>
    </row>
    <row r="33" spans="2:9" ht="15" customHeight="1" x14ac:dyDescent="0.2">
      <c r="B33" t="s">
        <v>105</v>
      </c>
      <c r="C33" s="12">
        <v>159</v>
      </c>
      <c r="D33" s="8">
        <v>3.88</v>
      </c>
      <c r="E33" s="12">
        <v>91</v>
      </c>
      <c r="F33" s="8">
        <v>6.01</v>
      </c>
      <c r="G33" s="12">
        <v>67</v>
      </c>
      <c r="H33" s="8">
        <v>2.6</v>
      </c>
      <c r="I33" s="12">
        <v>0</v>
      </c>
    </row>
    <row r="34" spans="2:9" ht="15" customHeight="1" x14ac:dyDescent="0.2">
      <c r="B34" t="s">
        <v>96</v>
      </c>
      <c r="C34" s="12">
        <v>136</v>
      </c>
      <c r="D34" s="8">
        <v>3.32</v>
      </c>
      <c r="E34" s="12">
        <v>70</v>
      </c>
      <c r="F34" s="8">
        <v>4.62</v>
      </c>
      <c r="G34" s="12">
        <v>66</v>
      </c>
      <c r="H34" s="8">
        <v>2.56</v>
      </c>
      <c r="I34" s="12">
        <v>0</v>
      </c>
    </row>
    <row r="35" spans="2:9" ht="15" customHeight="1" x14ac:dyDescent="0.2">
      <c r="B35" t="s">
        <v>102</v>
      </c>
      <c r="C35" s="12">
        <v>97</v>
      </c>
      <c r="D35" s="8">
        <v>2.37</v>
      </c>
      <c r="E35" s="12">
        <v>25</v>
      </c>
      <c r="F35" s="8">
        <v>1.65</v>
      </c>
      <c r="G35" s="12">
        <v>71</v>
      </c>
      <c r="H35" s="8">
        <v>2.76</v>
      </c>
      <c r="I35" s="12">
        <v>1</v>
      </c>
    </row>
    <row r="36" spans="2:9" ht="15" customHeight="1" x14ac:dyDescent="0.2">
      <c r="B36" t="s">
        <v>99</v>
      </c>
      <c r="C36" s="12">
        <v>91</v>
      </c>
      <c r="D36" s="8">
        <v>2.2200000000000002</v>
      </c>
      <c r="E36" s="12">
        <v>5</v>
      </c>
      <c r="F36" s="8">
        <v>0.33</v>
      </c>
      <c r="G36" s="12">
        <v>86</v>
      </c>
      <c r="H36" s="8">
        <v>3.34</v>
      </c>
      <c r="I36" s="12">
        <v>0</v>
      </c>
    </row>
    <row r="37" spans="2:9" ht="15" customHeight="1" x14ac:dyDescent="0.2">
      <c r="B37" t="s">
        <v>97</v>
      </c>
      <c r="C37" s="12">
        <v>73</v>
      </c>
      <c r="D37" s="8">
        <v>1.78</v>
      </c>
      <c r="E37" s="12">
        <v>30</v>
      </c>
      <c r="F37" s="8">
        <v>1.98</v>
      </c>
      <c r="G37" s="12">
        <v>43</v>
      </c>
      <c r="H37" s="8">
        <v>1.67</v>
      </c>
      <c r="I37" s="12">
        <v>0</v>
      </c>
    </row>
    <row r="38" spans="2:9" ht="15" customHeight="1" x14ac:dyDescent="0.2">
      <c r="B38" t="s">
        <v>91</v>
      </c>
      <c r="C38" s="12">
        <v>69</v>
      </c>
      <c r="D38" s="8">
        <v>1.68</v>
      </c>
      <c r="E38" s="12">
        <v>3</v>
      </c>
      <c r="F38" s="8">
        <v>0.2</v>
      </c>
      <c r="G38" s="12">
        <v>66</v>
      </c>
      <c r="H38" s="8">
        <v>2.56</v>
      </c>
      <c r="I38" s="12">
        <v>0</v>
      </c>
    </row>
    <row r="39" spans="2:9" ht="15" customHeight="1" x14ac:dyDescent="0.2">
      <c r="B39" t="s">
        <v>94</v>
      </c>
      <c r="C39" s="12">
        <v>65</v>
      </c>
      <c r="D39" s="8">
        <v>1.58</v>
      </c>
      <c r="E39" s="12">
        <v>4</v>
      </c>
      <c r="F39" s="8">
        <v>0.26</v>
      </c>
      <c r="G39" s="12">
        <v>61</v>
      </c>
      <c r="H39" s="8">
        <v>2.37</v>
      </c>
      <c r="I39" s="12">
        <v>0</v>
      </c>
    </row>
    <row r="40" spans="2:9" ht="15" customHeight="1" x14ac:dyDescent="0.2">
      <c r="B40" t="s">
        <v>107</v>
      </c>
      <c r="C40" s="12">
        <v>62</v>
      </c>
      <c r="D40" s="8">
        <v>1.51</v>
      </c>
      <c r="E40" s="12">
        <v>4</v>
      </c>
      <c r="F40" s="8">
        <v>0.26</v>
      </c>
      <c r="G40" s="12">
        <v>57</v>
      </c>
      <c r="H40" s="8">
        <v>2.21</v>
      </c>
      <c r="I40" s="12">
        <v>0</v>
      </c>
    </row>
    <row r="41" spans="2:9" ht="15" customHeight="1" x14ac:dyDescent="0.2">
      <c r="B41" t="s">
        <v>115</v>
      </c>
      <c r="C41" s="12">
        <v>57</v>
      </c>
      <c r="D41" s="8">
        <v>1.39</v>
      </c>
      <c r="E41" s="12">
        <v>17</v>
      </c>
      <c r="F41" s="8">
        <v>1.1200000000000001</v>
      </c>
      <c r="G41" s="12">
        <v>40</v>
      </c>
      <c r="H41" s="8">
        <v>1.55</v>
      </c>
      <c r="I41" s="12">
        <v>0</v>
      </c>
    </row>
    <row r="42" spans="2:9" ht="15" customHeight="1" x14ac:dyDescent="0.2">
      <c r="B42" t="s">
        <v>132</v>
      </c>
      <c r="C42" s="12">
        <v>55</v>
      </c>
      <c r="D42" s="8">
        <v>1.34</v>
      </c>
      <c r="E42" s="12">
        <v>0</v>
      </c>
      <c r="F42" s="8">
        <v>0</v>
      </c>
      <c r="G42" s="12">
        <v>55</v>
      </c>
      <c r="H42" s="8">
        <v>2.14</v>
      </c>
      <c r="I42" s="12">
        <v>0</v>
      </c>
    </row>
    <row r="43" spans="2:9" ht="15" customHeight="1" x14ac:dyDescent="0.2">
      <c r="B43" t="s">
        <v>93</v>
      </c>
      <c r="C43" s="12">
        <v>52</v>
      </c>
      <c r="D43" s="8">
        <v>1.27</v>
      </c>
      <c r="E43" s="12">
        <v>1</v>
      </c>
      <c r="F43" s="8">
        <v>7.0000000000000007E-2</v>
      </c>
      <c r="G43" s="12">
        <v>51</v>
      </c>
      <c r="H43" s="8">
        <v>1.98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353</v>
      </c>
      <c r="D47" s="8">
        <v>8.61</v>
      </c>
      <c r="E47" s="12">
        <v>163</v>
      </c>
      <c r="F47" s="8">
        <v>10.77</v>
      </c>
      <c r="G47" s="12">
        <v>189</v>
      </c>
      <c r="H47" s="8">
        <v>7.34</v>
      </c>
      <c r="I47" s="12">
        <v>0</v>
      </c>
    </row>
    <row r="48" spans="2:9" ht="15" customHeight="1" x14ac:dyDescent="0.2">
      <c r="B48" t="s">
        <v>172</v>
      </c>
      <c r="C48" s="12">
        <v>158</v>
      </c>
      <c r="D48" s="8">
        <v>3.85</v>
      </c>
      <c r="E48" s="12">
        <v>130</v>
      </c>
      <c r="F48" s="8">
        <v>8.59</v>
      </c>
      <c r="G48" s="12">
        <v>28</v>
      </c>
      <c r="H48" s="8">
        <v>1.0900000000000001</v>
      </c>
      <c r="I48" s="12">
        <v>0</v>
      </c>
    </row>
    <row r="49" spans="2:9" ht="15" customHeight="1" x14ac:dyDescent="0.2">
      <c r="B49" t="s">
        <v>163</v>
      </c>
      <c r="C49" s="12">
        <v>120</v>
      </c>
      <c r="D49" s="8">
        <v>2.93</v>
      </c>
      <c r="E49" s="12">
        <v>4</v>
      </c>
      <c r="F49" s="8">
        <v>0.26</v>
      </c>
      <c r="G49" s="12">
        <v>115</v>
      </c>
      <c r="H49" s="8">
        <v>4.46</v>
      </c>
      <c r="I49" s="12">
        <v>0</v>
      </c>
    </row>
    <row r="50" spans="2:9" ht="15" customHeight="1" x14ac:dyDescent="0.2">
      <c r="B50" t="s">
        <v>175</v>
      </c>
      <c r="C50" s="12">
        <v>115</v>
      </c>
      <c r="D50" s="8">
        <v>2.8</v>
      </c>
      <c r="E50" s="12">
        <v>103</v>
      </c>
      <c r="F50" s="8">
        <v>6.8</v>
      </c>
      <c r="G50" s="12">
        <v>12</v>
      </c>
      <c r="H50" s="8">
        <v>0.47</v>
      </c>
      <c r="I50" s="12">
        <v>0</v>
      </c>
    </row>
    <row r="51" spans="2:9" ht="15" customHeight="1" x14ac:dyDescent="0.2">
      <c r="B51" t="s">
        <v>168</v>
      </c>
      <c r="C51" s="12">
        <v>102</v>
      </c>
      <c r="D51" s="8">
        <v>2.4900000000000002</v>
      </c>
      <c r="E51" s="12">
        <v>73</v>
      </c>
      <c r="F51" s="8">
        <v>4.82</v>
      </c>
      <c r="G51" s="12">
        <v>29</v>
      </c>
      <c r="H51" s="8">
        <v>1.1299999999999999</v>
      </c>
      <c r="I51" s="12">
        <v>0</v>
      </c>
    </row>
    <row r="52" spans="2:9" ht="15" customHeight="1" x14ac:dyDescent="0.2">
      <c r="B52" t="s">
        <v>173</v>
      </c>
      <c r="C52" s="12">
        <v>100</v>
      </c>
      <c r="D52" s="8">
        <v>2.44</v>
      </c>
      <c r="E52" s="12">
        <v>65</v>
      </c>
      <c r="F52" s="8">
        <v>4.29</v>
      </c>
      <c r="G52" s="12">
        <v>35</v>
      </c>
      <c r="H52" s="8">
        <v>1.36</v>
      </c>
      <c r="I52" s="12">
        <v>0</v>
      </c>
    </row>
    <row r="53" spans="2:9" ht="15" customHeight="1" x14ac:dyDescent="0.2">
      <c r="B53" t="s">
        <v>171</v>
      </c>
      <c r="C53" s="12">
        <v>98</v>
      </c>
      <c r="D53" s="8">
        <v>2.39</v>
      </c>
      <c r="E53" s="12">
        <v>88</v>
      </c>
      <c r="F53" s="8">
        <v>5.81</v>
      </c>
      <c r="G53" s="12">
        <v>10</v>
      </c>
      <c r="H53" s="8">
        <v>0.39</v>
      </c>
      <c r="I53" s="12">
        <v>0</v>
      </c>
    </row>
    <row r="54" spans="2:9" ht="15" customHeight="1" x14ac:dyDescent="0.2">
      <c r="B54" t="s">
        <v>169</v>
      </c>
      <c r="C54" s="12">
        <v>95</v>
      </c>
      <c r="D54" s="8">
        <v>2.3199999999999998</v>
      </c>
      <c r="E54" s="12">
        <v>79</v>
      </c>
      <c r="F54" s="8">
        <v>5.22</v>
      </c>
      <c r="G54" s="12">
        <v>16</v>
      </c>
      <c r="H54" s="8">
        <v>0.62</v>
      </c>
      <c r="I54" s="12">
        <v>0</v>
      </c>
    </row>
    <row r="55" spans="2:9" ht="15" customHeight="1" x14ac:dyDescent="0.2">
      <c r="B55" t="s">
        <v>159</v>
      </c>
      <c r="C55" s="12">
        <v>94</v>
      </c>
      <c r="D55" s="8">
        <v>2.29</v>
      </c>
      <c r="E55" s="12">
        <v>39</v>
      </c>
      <c r="F55" s="8">
        <v>2.58</v>
      </c>
      <c r="G55" s="12">
        <v>55</v>
      </c>
      <c r="H55" s="8">
        <v>2.14</v>
      </c>
      <c r="I55" s="12">
        <v>0</v>
      </c>
    </row>
    <row r="56" spans="2:9" ht="15" customHeight="1" x14ac:dyDescent="0.2">
      <c r="B56" t="s">
        <v>192</v>
      </c>
      <c r="C56" s="12">
        <v>84</v>
      </c>
      <c r="D56" s="8">
        <v>2.0499999999999998</v>
      </c>
      <c r="E56" s="12">
        <v>7</v>
      </c>
      <c r="F56" s="8">
        <v>0.46</v>
      </c>
      <c r="G56" s="12">
        <v>77</v>
      </c>
      <c r="H56" s="8">
        <v>2.99</v>
      </c>
      <c r="I56" s="12">
        <v>0</v>
      </c>
    </row>
    <row r="57" spans="2:9" ht="15" customHeight="1" x14ac:dyDescent="0.2">
      <c r="B57" t="s">
        <v>201</v>
      </c>
      <c r="C57" s="12">
        <v>78</v>
      </c>
      <c r="D57" s="8">
        <v>1.9</v>
      </c>
      <c r="E57" s="12">
        <v>3</v>
      </c>
      <c r="F57" s="8">
        <v>0.2</v>
      </c>
      <c r="G57" s="12">
        <v>75</v>
      </c>
      <c r="H57" s="8">
        <v>2.91</v>
      </c>
      <c r="I57" s="12">
        <v>0</v>
      </c>
    </row>
    <row r="58" spans="2:9" ht="15" customHeight="1" x14ac:dyDescent="0.2">
      <c r="B58" t="s">
        <v>161</v>
      </c>
      <c r="C58" s="12">
        <v>73</v>
      </c>
      <c r="D58" s="8">
        <v>1.78</v>
      </c>
      <c r="E58" s="12">
        <v>10</v>
      </c>
      <c r="F58" s="8">
        <v>0.66</v>
      </c>
      <c r="G58" s="12">
        <v>63</v>
      </c>
      <c r="H58" s="8">
        <v>2.4500000000000002</v>
      </c>
      <c r="I58" s="12">
        <v>0</v>
      </c>
    </row>
    <row r="59" spans="2:9" ht="15" customHeight="1" x14ac:dyDescent="0.2">
      <c r="B59" t="s">
        <v>170</v>
      </c>
      <c r="C59" s="12">
        <v>70</v>
      </c>
      <c r="D59" s="8">
        <v>1.71</v>
      </c>
      <c r="E59" s="12">
        <v>61</v>
      </c>
      <c r="F59" s="8">
        <v>4.03</v>
      </c>
      <c r="G59" s="12">
        <v>9</v>
      </c>
      <c r="H59" s="8">
        <v>0.35</v>
      </c>
      <c r="I59" s="12">
        <v>0</v>
      </c>
    </row>
    <row r="60" spans="2:9" ht="15" customHeight="1" x14ac:dyDescent="0.2">
      <c r="B60" t="s">
        <v>160</v>
      </c>
      <c r="C60" s="12">
        <v>68</v>
      </c>
      <c r="D60" s="8">
        <v>1.66</v>
      </c>
      <c r="E60" s="12">
        <v>4</v>
      </c>
      <c r="F60" s="8">
        <v>0.26</v>
      </c>
      <c r="G60" s="12">
        <v>64</v>
      </c>
      <c r="H60" s="8">
        <v>2.48</v>
      </c>
      <c r="I60" s="12">
        <v>0</v>
      </c>
    </row>
    <row r="61" spans="2:9" ht="15" customHeight="1" x14ac:dyDescent="0.2">
      <c r="B61" t="s">
        <v>197</v>
      </c>
      <c r="C61" s="12">
        <v>67</v>
      </c>
      <c r="D61" s="8">
        <v>1.63</v>
      </c>
      <c r="E61" s="12">
        <v>31</v>
      </c>
      <c r="F61" s="8">
        <v>2.0499999999999998</v>
      </c>
      <c r="G61" s="12">
        <v>36</v>
      </c>
      <c r="H61" s="8">
        <v>1.4</v>
      </c>
      <c r="I61" s="12">
        <v>0</v>
      </c>
    </row>
    <row r="62" spans="2:9" ht="15" customHeight="1" x14ac:dyDescent="0.2">
      <c r="B62" t="s">
        <v>157</v>
      </c>
      <c r="C62" s="12">
        <v>64</v>
      </c>
      <c r="D62" s="8">
        <v>1.56</v>
      </c>
      <c r="E62" s="12">
        <v>3</v>
      </c>
      <c r="F62" s="8">
        <v>0.2</v>
      </c>
      <c r="G62" s="12">
        <v>61</v>
      </c>
      <c r="H62" s="8">
        <v>2.37</v>
      </c>
      <c r="I62" s="12">
        <v>0</v>
      </c>
    </row>
    <row r="63" spans="2:9" ht="15" customHeight="1" x14ac:dyDescent="0.2">
      <c r="B63" t="s">
        <v>200</v>
      </c>
      <c r="C63" s="12">
        <v>63</v>
      </c>
      <c r="D63" s="8">
        <v>1.54</v>
      </c>
      <c r="E63" s="12">
        <v>9</v>
      </c>
      <c r="F63" s="8">
        <v>0.59</v>
      </c>
      <c r="G63" s="12">
        <v>54</v>
      </c>
      <c r="H63" s="8">
        <v>2.1</v>
      </c>
      <c r="I63" s="12">
        <v>0</v>
      </c>
    </row>
    <row r="64" spans="2:9" ht="15" customHeight="1" x14ac:dyDescent="0.2">
      <c r="B64" t="s">
        <v>174</v>
      </c>
      <c r="C64" s="12">
        <v>63</v>
      </c>
      <c r="D64" s="8">
        <v>1.54</v>
      </c>
      <c r="E64" s="12">
        <v>56</v>
      </c>
      <c r="F64" s="8">
        <v>3.7</v>
      </c>
      <c r="G64" s="12">
        <v>7</v>
      </c>
      <c r="H64" s="8">
        <v>0.27</v>
      </c>
      <c r="I64" s="12">
        <v>0</v>
      </c>
    </row>
    <row r="65" spans="2:9" ht="15" customHeight="1" x14ac:dyDescent="0.2">
      <c r="B65" t="s">
        <v>195</v>
      </c>
      <c r="C65" s="12">
        <v>61</v>
      </c>
      <c r="D65" s="8">
        <v>1.49</v>
      </c>
      <c r="E65" s="12">
        <v>9</v>
      </c>
      <c r="F65" s="8">
        <v>0.59</v>
      </c>
      <c r="G65" s="12">
        <v>52</v>
      </c>
      <c r="H65" s="8">
        <v>2.02</v>
      </c>
      <c r="I65" s="12">
        <v>0</v>
      </c>
    </row>
    <row r="66" spans="2:9" ht="15" customHeight="1" x14ac:dyDescent="0.2">
      <c r="B66" t="s">
        <v>208</v>
      </c>
      <c r="C66" s="12">
        <v>61</v>
      </c>
      <c r="D66" s="8">
        <v>1.49</v>
      </c>
      <c r="E66" s="12">
        <v>9</v>
      </c>
      <c r="F66" s="8">
        <v>0.59</v>
      </c>
      <c r="G66" s="12">
        <v>52</v>
      </c>
      <c r="H66" s="8">
        <v>2.02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A728-97FB-44FA-BE1A-2D4B7FCFC79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245</v>
      </c>
      <c r="D6" s="8">
        <v>13.36</v>
      </c>
      <c r="E6" s="12">
        <v>38</v>
      </c>
      <c r="F6" s="8">
        <v>4.87</v>
      </c>
      <c r="G6" s="12">
        <v>207</v>
      </c>
      <c r="H6" s="8">
        <v>19.73</v>
      </c>
      <c r="I6" s="12">
        <v>0</v>
      </c>
    </row>
    <row r="7" spans="2:9" ht="15" customHeight="1" x14ac:dyDescent="0.2">
      <c r="B7" t="s">
        <v>67</v>
      </c>
      <c r="C7" s="12">
        <v>161</v>
      </c>
      <c r="D7" s="8">
        <v>8.7799999999999994</v>
      </c>
      <c r="E7" s="12">
        <v>29</v>
      </c>
      <c r="F7" s="8">
        <v>3.72</v>
      </c>
      <c r="G7" s="12">
        <v>132</v>
      </c>
      <c r="H7" s="8">
        <v>12.58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23</v>
      </c>
      <c r="D9" s="8">
        <v>1.25</v>
      </c>
      <c r="E9" s="12">
        <v>0</v>
      </c>
      <c r="F9" s="8">
        <v>0</v>
      </c>
      <c r="G9" s="12">
        <v>23</v>
      </c>
      <c r="H9" s="8">
        <v>2.19</v>
      </c>
      <c r="I9" s="12">
        <v>0</v>
      </c>
    </row>
    <row r="10" spans="2:9" ht="15" customHeight="1" x14ac:dyDescent="0.2">
      <c r="B10" t="s">
        <v>70</v>
      </c>
      <c r="C10" s="12">
        <v>20</v>
      </c>
      <c r="D10" s="8">
        <v>1.0900000000000001</v>
      </c>
      <c r="E10" s="12">
        <v>3</v>
      </c>
      <c r="F10" s="8">
        <v>0.38</v>
      </c>
      <c r="G10" s="12">
        <v>17</v>
      </c>
      <c r="H10" s="8">
        <v>1.62</v>
      </c>
      <c r="I10" s="12">
        <v>0</v>
      </c>
    </row>
    <row r="11" spans="2:9" ht="15" customHeight="1" x14ac:dyDescent="0.2">
      <c r="B11" t="s">
        <v>71</v>
      </c>
      <c r="C11" s="12">
        <v>352</v>
      </c>
      <c r="D11" s="8">
        <v>19.190000000000001</v>
      </c>
      <c r="E11" s="12">
        <v>124</v>
      </c>
      <c r="F11" s="8">
        <v>15.9</v>
      </c>
      <c r="G11" s="12">
        <v>228</v>
      </c>
      <c r="H11" s="8">
        <v>21.73</v>
      </c>
      <c r="I11" s="12">
        <v>0</v>
      </c>
    </row>
    <row r="12" spans="2:9" ht="15" customHeight="1" x14ac:dyDescent="0.2">
      <c r="B12" t="s">
        <v>72</v>
      </c>
      <c r="C12" s="12">
        <v>11</v>
      </c>
      <c r="D12" s="8">
        <v>0.6</v>
      </c>
      <c r="E12" s="12">
        <v>0</v>
      </c>
      <c r="F12" s="8">
        <v>0</v>
      </c>
      <c r="G12" s="12">
        <v>11</v>
      </c>
      <c r="H12" s="8">
        <v>1.05</v>
      </c>
      <c r="I12" s="12">
        <v>0</v>
      </c>
    </row>
    <row r="13" spans="2:9" ht="15" customHeight="1" x14ac:dyDescent="0.2">
      <c r="B13" t="s">
        <v>73</v>
      </c>
      <c r="C13" s="12">
        <v>214</v>
      </c>
      <c r="D13" s="8">
        <v>11.67</v>
      </c>
      <c r="E13" s="12">
        <v>49</v>
      </c>
      <c r="F13" s="8">
        <v>6.28</v>
      </c>
      <c r="G13" s="12">
        <v>165</v>
      </c>
      <c r="H13" s="8">
        <v>15.73</v>
      </c>
      <c r="I13" s="12">
        <v>0</v>
      </c>
    </row>
    <row r="14" spans="2:9" ht="15" customHeight="1" x14ac:dyDescent="0.2">
      <c r="B14" t="s">
        <v>74</v>
      </c>
      <c r="C14" s="12">
        <v>93</v>
      </c>
      <c r="D14" s="8">
        <v>5.07</v>
      </c>
      <c r="E14" s="12">
        <v>47</v>
      </c>
      <c r="F14" s="8">
        <v>6.03</v>
      </c>
      <c r="G14" s="12">
        <v>46</v>
      </c>
      <c r="H14" s="8">
        <v>4.3899999999999997</v>
      </c>
      <c r="I14" s="12">
        <v>0</v>
      </c>
    </row>
    <row r="15" spans="2:9" ht="15" customHeight="1" x14ac:dyDescent="0.2">
      <c r="B15" t="s">
        <v>75</v>
      </c>
      <c r="C15" s="12">
        <v>241</v>
      </c>
      <c r="D15" s="8">
        <v>13.14</v>
      </c>
      <c r="E15" s="12">
        <v>202</v>
      </c>
      <c r="F15" s="8">
        <v>25.9</v>
      </c>
      <c r="G15" s="12">
        <v>39</v>
      </c>
      <c r="H15" s="8">
        <v>3.72</v>
      </c>
      <c r="I15" s="12">
        <v>0</v>
      </c>
    </row>
    <row r="16" spans="2:9" ht="15" customHeight="1" x14ac:dyDescent="0.2">
      <c r="B16" t="s">
        <v>76</v>
      </c>
      <c r="C16" s="12">
        <v>221</v>
      </c>
      <c r="D16" s="8">
        <v>12.05</v>
      </c>
      <c r="E16" s="12">
        <v>153</v>
      </c>
      <c r="F16" s="8">
        <v>19.62</v>
      </c>
      <c r="G16" s="12">
        <v>68</v>
      </c>
      <c r="H16" s="8">
        <v>6.48</v>
      </c>
      <c r="I16" s="12">
        <v>0</v>
      </c>
    </row>
    <row r="17" spans="2:9" ht="15" customHeight="1" x14ac:dyDescent="0.2">
      <c r="B17" t="s">
        <v>77</v>
      </c>
      <c r="C17" s="12">
        <v>90</v>
      </c>
      <c r="D17" s="8">
        <v>4.91</v>
      </c>
      <c r="E17" s="12">
        <v>51</v>
      </c>
      <c r="F17" s="8">
        <v>6.54</v>
      </c>
      <c r="G17" s="12">
        <v>39</v>
      </c>
      <c r="H17" s="8">
        <v>3.72</v>
      </c>
      <c r="I17" s="12">
        <v>0</v>
      </c>
    </row>
    <row r="18" spans="2:9" ht="15" customHeight="1" x14ac:dyDescent="0.2">
      <c r="B18" t="s">
        <v>78</v>
      </c>
      <c r="C18" s="12">
        <v>109</v>
      </c>
      <c r="D18" s="8">
        <v>5.94</v>
      </c>
      <c r="E18" s="12">
        <v>71</v>
      </c>
      <c r="F18" s="8">
        <v>9.1</v>
      </c>
      <c r="G18" s="12">
        <v>36</v>
      </c>
      <c r="H18" s="8">
        <v>3.43</v>
      </c>
      <c r="I18" s="12">
        <v>0</v>
      </c>
    </row>
    <row r="19" spans="2:9" ht="15" customHeight="1" x14ac:dyDescent="0.2">
      <c r="B19" t="s">
        <v>79</v>
      </c>
      <c r="C19" s="12">
        <v>53</v>
      </c>
      <c r="D19" s="8">
        <v>2.89</v>
      </c>
      <c r="E19" s="12">
        <v>13</v>
      </c>
      <c r="F19" s="8">
        <v>1.67</v>
      </c>
      <c r="G19" s="12">
        <v>38</v>
      </c>
      <c r="H19" s="8">
        <v>3.62</v>
      </c>
      <c r="I19" s="12">
        <v>1</v>
      </c>
    </row>
    <row r="20" spans="2:9" ht="15" customHeight="1" x14ac:dyDescent="0.2">
      <c r="B20" s="9" t="s">
        <v>280</v>
      </c>
      <c r="C20" s="12">
        <f>SUM(LTBL_13207[総数／事業所数])</f>
        <v>1834</v>
      </c>
      <c r="E20" s="12">
        <f>SUBTOTAL(109,LTBL_13207[個人／事業所数])</f>
        <v>780</v>
      </c>
      <c r="G20" s="12">
        <f>SUBTOTAL(109,LTBL_13207[法人／事業所数])</f>
        <v>1049</v>
      </c>
      <c r="I20" s="12">
        <f>SUBTOTAL(109,LTBL_13207[法人以外の団体／事業所数])</f>
        <v>1</v>
      </c>
    </row>
    <row r="21" spans="2:9" ht="15" customHeight="1" x14ac:dyDescent="0.2">
      <c r="E21" s="11">
        <f>LTBL_13207[[#Totals],[個人／事業所数]]/LTBL_13207[[#Totals],[総数／事業所数]]</f>
        <v>0.42529989094874593</v>
      </c>
      <c r="G21" s="11">
        <f>LTBL_13207[[#Totals],[法人／事業所数]]/LTBL_13207[[#Totals],[総数／事業所数]]</f>
        <v>0.5719738276990185</v>
      </c>
      <c r="I21" s="11">
        <f>LTBL_13207[[#Totals],[法人以外の団体／事業所数]]/LTBL_13207[[#Totals],[総数／事業所数]]</f>
        <v>5.4525627044711017E-4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224</v>
      </c>
      <c r="D24" s="8">
        <v>12.21</v>
      </c>
      <c r="E24" s="12">
        <v>197</v>
      </c>
      <c r="F24" s="8">
        <v>25.26</v>
      </c>
      <c r="G24" s="12">
        <v>27</v>
      </c>
      <c r="H24" s="8">
        <v>2.57</v>
      </c>
      <c r="I24" s="12">
        <v>0</v>
      </c>
    </row>
    <row r="25" spans="2:9" ht="15" customHeight="1" x14ac:dyDescent="0.2">
      <c r="B25" t="s">
        <v>104</v>
      </c>
      <c r="C25" s="12">
        <v>179</v>
      </c>
      <c r="D25" s="8">
        <v>9.76</v>
      </c>
      <c r="E25" s="12">
        <v>141</v>
      </c>
      <c r="F25" s="8">
        <v>18.079999999999998</v>
      </c>
      <c r="G25" s="12">
        <v>38</v>
      </c>
      <c r="H25" s="8">
        <v>3.62</v>
      </c>
      <c r="I25" s="12">
        <v>0</v>
      </c>
    </row>
    <row r="26" spans="2:9" ht="15" customHeight="1" x14ac:dyDescent="0.2">
      <c r="B26" t="s">
        <v>100</v>
      </c>
      <c r="C26" s="12">
        <v>167</v>
      </c>
      <c r="D26" s="8">
        <v>9.11</v>
      </c>
      <c r="E26" s="12">
        <v>48</v>
      </c>
      <c r="F26" s="8">
        <v>6.15</v>
      </c>
      <c r="G26" s="12">
        <v>119</v>
      </c>
      <c r="H26" s="8">
        <v>11.34</v>
      </c>
      <c r="I26" s="12">
        <v>0</v>
      </c>
    </row>
    <row r="27" spans="2:9" ht="15" customHeight="1" x14ac:dyDescent="0.2">
      <c r="B27" t="s">
        <v>89</v>
      </c>
      <c r="C27" s="12">
        <v>97</v>
      </c>
      <c r="D27" s="8">
        <v>5.29</v>
      </c>
      <c r="E27" s="12">
        <v>17</v>
      </c>
      <c r="F27" s="8">
        <v>2.1800000000000002</v>
      </c>
      <c r="G27" s="12">
        <v>80</v>
      </c>
      <c r="H27" s="8">
        <v>7.63</v>
      </c>
      <c r="I27" s="12">
        <v>0</v>
      </c>
    </row>
    <row r="28" spans="2:9" ht="15" customHeight="1" x14ac:dyDescent="0.2">
      <c r="B28" t="s">
        <v>88</v>
      </c>
      <c r="C28" s="12">
        <v>91</v>
      </c>
      <c r="D28" s="8">
        <v>4.96</v>
      </c>
      <c r="E28" s="12">
        <v>11</v>
      </c>
      <c r="F28" s="8">
        <v>1.41</v>
      </c>
      <c r="G28" s="12">
        <v>80</v>
      </c>
      <c r="H28" s="8">
        <v>7.63</v>
      </c>
      <c r="I28" s="12">
        <v>0</v>
      </c>
    </row>
    <row r="29" spans="2:9" ht="15" customHeight="1" x14ac:dyDescent="0.2">
      <c r="B29" t="s">
        <v>105</v>
      </c>
      <c r="C29" s="12">
        <v>90</v>
      </c>
      <c r="D29" s="8">
        <v>4.91</v>
      </c>
      <c r="E29" s="12">
        <v>51</v>
      </c>
      <c r="F29" s="8">
        <v>6.54</v>
      </c>
      <c r="G29" s="12">
        <v>39</v>
      </c>
      <c r="H29" s="8">
        <v>3.72</v>
      </c>
      <c r="I29" s="12">
        <v>0</v>
      </c>
    </row>
    <row r="30" spans="2:9" ht="15" customHeight="1" x14ac:dyDescent="0.2">
      <c r="B30" t="s">
        <v>98</v>
      </c>
      <c r="C30" s="12">
        <v>88</v>
      </c>
      <c r="D30" s="8">
        <v>4.8</v>
      </c>
      <c r="E30" s="12">
        <v>36</v>
      </c>
      <c r="F30" s="8">
        <v>4.62</v>
      </c>
      <c r="G30" s="12">
        <v>52</v>
      </c>
      <c r="H30" s="8">
        <v>4.96</v>
      </c>
      <c r="I30" s="12">
        <v>0</v>
      </c>
    </row>
    <row r="31" spans="2:9" ht="15" customHeight="1" x14ac:dyDescent="0.2">
      <c r="B31" t="s">
        <v>106</v>
      </c>
      <c r="C31" s="12">
        <v>83</v>
      </c>
      <c r="D31" s="8">
        <v>4.53</v>
      </c>
      <c r="E31" s="12">
        <v>71</v>
      </c>
      <c r="F31" s="8">
        <v>9.1</v>
      </c>
      <c r="G31" s="12">
        <v>12</v>
      </c>
      <c r="H31" s="8">
        <v>1.1399999999999999</v>
      </c>
      <c r="I31" s="12">
        <v>0</v>
      </c>
    </row>
    <row r="32" spans="2:9" ht="15" customHeight="1" x14ac:dyDescent="0.2">
      <c r="B32" t="s">
        <v>96</v>
      </c>
      <c r="C32" s="12">
        <v>68</v>
      </c>
      <c r="D32" s="8">
        <v>3.71</v>
      </c>
      <c r="E32" s="12">
        <v>39</v>
      </c>
      <c r="F32" s="8">
        <v>5</v>
      </c>
      <c r="G32" s="12">
        <v>29</v>
      </c>
      <c r="H32" s="8">
        <v>2.76</v>
      </c>
      <c r="I32" s="12">
        <v>0</v>
      </c>
    </row>
    <row r="33" spans="2:9" ht="15" customHeight="1" x14ac:dyDescent="0.2">
      <c r="B33" t="s">
        <v>101</v>
      </c>
      <c r="C33" s="12">
        <v>61</v>
      </c>
      <c r="D33" s="8">
        <v>3.33</v>
      </c>
      <c r="E33" s="12">
        <v>36</v>
      </c>
      <c r="F33" s="8">
        <v>4.62</v>
      </c>
      <c r="G33" s="12">
        <v>25</v>
      </c>
      <c r="H33" s="8">
        <v>2.38</v>
      </c>
      <c r="I33" s="12">
        <v>0</v>
      </c>
    </row>
    <row r="34" spans="2:9" ht="15" customHeight="1" x14ac:dyDescent="0.2">
      <c r="B34" t="s">
        <v>90</v>
      </c>
      <c r="C34" s="12">
        <v>57</v>
      </c>
      <c r="D34" s="8">
        <v>3.11</v>
      </c>
      <c r="E34" s="12">
        <v>10</v>
      </c>
      <c r="F34" s="8">
        <v>1.28</v>
      </c>
      <c r="G34" s="12">
        <v>47</v>
      </c>
      <c r="H34" s="8">
        <v>4.4800000000000004</v>
      </c>
      <c r="I34" s="12">
        <v>0</v>
      </c>
    </row>
    <row r="35" spans="2:9" ht="15" customHeight="1" x14ac:dyDescent="0.2">
      <c r="B35" t="s">
        <v>97</v>
      </c>
      <c r="C35" s="12">
        <v>44</v>
      </c>
      <c r="D35" s="8">
        <v>2.4</v>
      </c>
      <c r="E35" s="12">
        <v>23</v>
      </c>
      <c r="F35" s="8">
        <v>2.95</v>
      </c>
      <c r="G35" s="12">
        <v>21</v>
      </c>
      <c r="H35" s="8">
        <v>2</v>
      </c>
      <c r="I35" s="12">
        <v>0</v>
      </c>
    </row>
    <row r="36" spans="2:9" ht="15" customHeight="1" x14ac:dyDescent="0.2">
      <c r="B36" t="s">
        <v>99</v>
      </c>
      <c r="C36" s="12">
        <v>43</v>
      </c>
      <c r="D36" s="8">
        <v>2.34</v>
      </c>
      <c r="E36" s="12">
        <v>1</v>
      </c>
      <c r="F36" s="8">
        <v>0.13</v>
      </c>
      <c r="G36" s="12">
        <v>42</v>
      </c>
      <c r="H36" s="8">
        <v>4</v>
      </c>
      <c r="I36" s="12">
        <v>0</v>
      </c>
    </row>
    <row r="37" spans="2:9" ht="15" customHeight="1" x14ac:dyDescent="0.2">
      <c r="B37" t="s">
        <v>119</v>
      </c>
      <c r="C37" s="12">
        <v>34</v>
      </c>
      <c r="D37" s="8">
        <v>1.85</v>
      </c>
      <c r="E37" s="12">
        <v>8</v>
      </c>
      <c r="F37" s="8">
        <v>1.03</v>
      </c>
      <c r="G37" s="12">
        <v>26</v>
      </c>
      <c r="H37" s="8">
        <v>2.48</v>
      </c>
      <c r="I37" s="12">
        <v>0</v>
      </c>
    </row>
    <row r="38" spans="2:9" ht="15" customHeight="1" x14ac:dyDescent="0.2">
      <c r="B38" t="s">
        <v>115</v>
      </c>
      <c r="C38" s="12">
        <v>33</v>
      </c>
      <c r="D38" s="8">
        <v>1.8</v>
      </c>
      <c r="E38" s="12">
        <v>7</v>
      </c>
      <c r="F38" s="8">
        <v>0.9</v>
      </c>
      <c r="G38" s="12">
        <v>26</v>
      </c>
      <c r="H38" s="8">
        <v>2.48</v>
      </c>
      <c r="I38" s="12">
        <v>0</v>
      </c>
    </row>
    <row r="39" spans="2:9" ht="15" customHeight="1" x14ac:dyDescent="0.2">
      <c r="B39" t="s">
        <v>102</v>
      </c>
      <c r="C39" s="12">
        <v>31</v>
      </c>
      <c r="D39" s="8">
        <v>1.69</v>
      </c>
      <c r="E39" s="12">
        <v>11</v>
      </c>
      <c r="F39" s="8">
        <v>1.41</v>
      </c>
      <c r="G39" s="12">
        <v>20</v>
      </c>
      <c r="H39" s="8">
        <v>1.91</v>
      </c>
      <c r="I39" s="12">
        <v>0</v>
      </c>
    </row>
    <row r="40" spans="2:9" ht="15" customHeight="1" x14ac:dyDescent="0.2">
      <c r="B40" t="s">
        <v>95</v>
      </c>
      <c r="C40" s="12">
        <v>29</v>
      </c>
      <c r="D40" s="8">
        <v>1.58</v>
      </c>
      <c r="E40" s="12">
        <v>13</v>
      </c>
      <c r="F40" s="8">
        <v>1.67</v>
      </c>
      <c r="G40" s="12">
        <v>16</v>
      </c>
      <c r="H40" s="8">
        <v>1.53</v>
      </c>
      <c r="I40" s="12">
        <v>0</v>
      </c>
    </row>
    <row r="41" spans="2:9" ht="15" customHeight="1" x14ac:dyDescent="0.2">
      <c r="B41" t="s">
        <v>93</v>
      </c>
      <c r="C41" s="12">
        <v>28</v>
      </c>
      <c r="D41" s="8">
        <v>1.53</v>
      </c>
      <c r="E41" s="12">
        <v>2</v>
      </c>
      <c r="F41" s="8">
        <v>0.26</v>
      </c>
      <c r="G41" s="12">
        <v>26</v>
      </c>
      <c r="H41" s="8">
        <v>2.48</v>
      </c>
      <c r="I41" s="12">
        <v>0</v>
      </c>
    </row>
    <row r="42" spans="2:9" ht="15" customHeight="1" x14ac:dyDescent="0.2">
      <c r="B42" t="s">
        <v>94</v>
      </c>
      <c r="C42" s="12">
        <v>27</v>
      </c>
      <c r="D42" s="8">
        <v>1.47</v>
      </c>
      <c r="E42" s="12">
        <v>2</v>
      </c>
      <c r="F42" s="8">
        <v>0.26</v>
      </c>
      <c r="G42" s="12">
        <v>25</v>
      </c>
      <c r="H42" s="8">
        <v>2.38</v>
      </c>
      <c r="I42" s="12">
        <v>0</v>
      </c>
    </row>
    <row r="43" spans="2:9" ht="15" customHeight="1" x14ac:dyDescent="0.2">
      <c r="B43" t="s">
        <v>132</v>
      </c>
      <c r="C43" s="12">
        <v>26</v>
      </c>
      <c r="D43" s="8">
        <v>1.42</v>
      </c>
      <c r="E43" s="12">
        <v>0</v>
      </c>
      <c r="F43" s="8">
        <v>0</v>
      </c>
      <c r="G43" s="12">
        <v>24</v>
      </c>
      <c r="H43" s="8">
        <v>2.29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96</v>
      </c>
      <c r="D47" s="8">
        <v>5.23</v>
      </c>
      <c r="E47" s="12">
        <v>38</v>
      </c>
      <c r="F47" s="8">
        <v>4.87</v>
      </c>
      <c r="G47" s="12">
        <v>58</v>
      </c>
      <c r="H47" s="8">
        <v>5.53</v>
      </c>
      <c r="I47" s="12">
        <v>0</v>
      </c>
    </row>
    <row r="48" spans="2:9" ht="15" customHeight="1" x14ac:dyDescent="0.2">
      <c r="B48" t="s">
        <v>172</v>
      </c>
      <c r="C48" s="12">
        <v>78</v>
      </c>
      <c r="D48" s="8">
        <v>4.25</v>
      </c>
      <c r="E48" s="12">
        <v>66</v>
      </c>
      <c r="F48" s="8">
        <v>8.4600000000000009</v>
      </c>
      <c r="G48" s="12">
        <v>12</v>
      </c>
      <c r="H48" s="8">
        <v>1.1399999999999999</v>
      </c>
      <c r="I48" s="12">
        <v>0</v>
      </c>
    </row>
    <row r="49" spans="2:9" ht="15" customHeight="1" x14ac:dyDescent="0.2">
      <c r="B49" t="s">
        <v>168</v>
      </c>
      <c r="C49" s="12">
        <v>65</v>
      </c>
      <c r="D49" s="8">
        <v>3.54</v>
      </c>
      <c r="E49" s="12">
        <v>55</v>
      </c>
      <c r="F49" s="8">
        <v>7.05</v>
      </c>
      <c r="G49" s="12">
        <v>10</v>
      </c>
      <c r="H49" s="8">
        <v>0.95</v>
      </c>
      <c r="I49" s="12">
        <v>0</v>
      </c>
    </row>
    <row r="50" spans="2:9" ht="15" customHeight="1" x14ac:dyDescent="0.2">
      <c r="B50" t="s">
        <v>169</v>
      </c>
      <c r="C50" s="12">
        <v>61</v>
      </c>
      <c r="D50" s="8">
        <v>3.33</v>
      </c>
      <c r="E50" s="12">
        <v>54</v>
      </c>
      <c r="F50" s="8">
        <v>6.92</v>
      </c>
      <c r="G50" s="12">
        <v>7</v>
      </c>
      <c r="H50" s="8">
        <v>0.67</v>
      </c>
      <c r="I50" s="12">
        <v>0</v>
      </c>
    </row>
    <row r="51" spans="2:9" ht="15" customHeight="1" x14ac:dyDescent="0.2">
      <c r="B51" t="s">
        <v>175</v>
      </c>
      <c r="C51" s="12">
        <v>59</v>
      </c>
      <c r="D51" s="8">
        <v>3.22</v>
      </c>
      <c r="E51" s="12">
        <v>50</v>
      </c>
      <c r="F51" s="8">
        <v>6.41</v>
      </c>
      <c r="G51" s="12">
        <v>9</v>
      </c>
      <c r="H51" s="8">
        <v>0.86</v>
      </c>
      <c r="I51" s="12">
        <v>0</v>
      </c>
    </row>
    <row r="52" spans="2:9" ht="15" customHeight="1" x14ac:dyDescent="0.2">
      <c r="B52" t="s">
        <v>171</v>
      </c>
      <c r="C52" s="12">
        <v>58</v>
      </c>
      <c r="D52" s="8">
        <v>3.16</v>
      </c>
      <c r="E52" s="12">
        <v>54</v>
      </c>
      <c r="F52" s="8">
        <v>6.92</v>
      </c>
      <c r="G52" s="12">
        <v>4</v>
      </c>
      <c r="H52" s="8">
        <v>0.38</v>
      </c>
      <c r="I52" s="12">
        <v>0</v>
      </c>
    </row>
    <row r="53" spans="2:9" ht="15" customHeight="1" x14ac:dyDescent="0.2">
      <c r="B53" t="s">
        <v>173</v>
      </c>
      <c r="C53" s="12">
        <v>58</v>
      </c>
      <c r="D53" s="8">
        <v>3.16</v>
      </c>
      <c r="E53" s="12">
        <v>44</v>
      </c>
      <c r="F53" s="8">
        <v>5.64</v>
      </c>
      <c r="G53" s="12">
        <v>14</v>
      </c>
      <c r="H53" s="8">
        <v>1.33</v>
      </c>
      <c r="I53" s="12">
        <v>0</v>
      </c>
    </row>
    <row r="54" spans="2:9" ht="15" customHeight="1" x14ac:dyDescent="0.2">
      <c r="B54" t="s">
        <v>170</v>
      </c>
      <c r="C54" s="12">
        <v>57</v>
      </c>
      <c r="D54" s="8">
        <v>3.11</v>
      </c>
      <c r="E54" s="12">
        <v>56</v>
      </c>
      <c r="F54" s="8">
        <v>7.18</v>
      </c>
      <c r="G54" s="12">
        <v>1</v>
      </c>
      <c r="H54" s="8">
        <v>0.1</v>
      </c>
      <c r="I54" s="12">
        <v>0</v>
      </c>
    </row>
    <row r="55" spans="2:9" ht="15" customHeight="1" x14ac:dyDescent="0.2">
      <c r="B55" t="s">
        <v>163</v>
      </c>
      <c r="C55" s="12">
        <v>33</v>
      </c>
      <c r="D55" s="8">
        <v>1.8</v>
      </c>
      <c r="E55" s="12">
        <v>1</v>
      </c>
      <c r="F55" s="8">
        <v>0.13</v>
      </c>
      <c r="G55" s="12">
        <v>32</v>
      </c>
      <c r="H55" s="8">
        <v>3.05</v>
      </c>
      <c r="I55" s="12">
        <v>0</v>
      </c>
    </row>
    <row r="56" spans="2:9" ht="15" customHeight="1" x14ac:dyDescent="0.2">
      <c r="B56" t="s">
        <v>161</v>
      </c>
      <c r="C56" s="12">
        <v>32</v>
      </c>
      <c r="D56" s="8">
        <v>1.74</v>
      </c>
      <c r="E56" s="12">
        <v>5</v>
      </c>
      <c r="F56" s="8">
        <v>0.64</v>
      </c>
      <c r="G56" s="12">
        <v>27</v>
      </c>
      <c r="H56" s="8">
        <v>2.57</v>
      </c>
      <c r="I56" s="12">
        <v>0</v>
      </c>
    </row>
    <row r="57" spans="2:9" ht="15" customHeight="1" x14ac:dyDescent="0.2">
      <c r="B57" t="s">
        <v>206</v>
      </c>
      <c r="C57" s="12">
        <v>29</v>
      </c>
      <c r="D57" s="8">
        <v>1.58</v>
      </c>
      <c r="E57" s="12">
        <v>3</v>
      </c>
      <c r="F57" s="8">
        <v>0.38</v>
      </c>
      <c r="G57" s="12">
        <v>26</v>
      </c>
      <c r="H57" s="8">
        <v>2.48</v>
      </c>
      <c r="I57" s="12">
        <v>0</v>
      </c>
    </row>
    <row r="58" spans="2:9" ht="15" customHeight="1" x14ac:dyDescent="0.2">
      <c r="B58" t="s">
        <v>158</v>
      </c>
      <c r="C58" s="12">
        <v>28</v>
      </c>
      <c r="D58" s="8">
        <v>1.53</v>
      </c>
      <c r="E58" s="12">
        <v>11</v>
      </c>
      <c r="F58" s="8">
        <v>1.41</v>
      </c>
      <c r="G58" s="12">
        <v>17</v>
      </c>
      <c r="H58" s="8">
        <v>1.62</v>
      </c>
      <c r="I58" s="12">
        <v>0</v>
      </c>
    </row>
    <row r="59" spans="2:9" ht="15" customHeight="1" x14ac:dyDescent="0.2">
      <c r="B59" t="s">
        <v>160</v>
      </c>
      <c r="C59" s="12">
        <v>28</v>
      </c>
      <c r="D59" s="8">
        <v>1.53</v>
      </c>
      <c r="E59" s="12">
        <v>1</v>
      </c>
      <c r="F59" s="8">
        <v>0.13</v>
      </c>
      <c r="G59" s="12">
        <v>27</v>
      </c>
      <c r="H59" s="8">
        <v>2.57</v>
      </c>
      <c r="I59" s="12">
        <v>0</v>
      </c>
    </row>
    <row r="60" spans="2:9" ht="15" customHeight="1" x14ac:dyDescent="0.2">
      <c r="B60" t="s">
        <v>197</v>
      </c>
      <c r="C60" s="12">
        <v>28</v>
      </c>
      <c r="D60" s="8">
        <v>1.53</v>
      </c>
      <c r="E60" s="12">
        <v>14</v>
      </c>
      <c r="F60" s="8">
        <v>1.79</v>
      </c>
      <c r="G60" s="12">
        <v>14</v>
      </c>
      <c r="H60" s="8">
        <v>1.33</v>
      </c>
      <c r="I60" s="12">
        <v>0</v>
      </c>
    </row>
    <row r="61" spans="2:9" ht="15" customHeight="1" x14ac:dyDescent="0.2">
      <c r="B61" t="s">
        <v>192</v>
      </c>
      <c r="C61" s="12">
        <v>27</v>
      </c>
      <c r="D61" s="8">
        <v>1.47</v>
      </c>
      <c r="E61" s="12">
        <v>4</v>
      </c>
      <c r="F61" s="8">
        <v>0.51</v>
      </c>
      <c r="G61" s="12">
        <v>23</v>
      </c>
      <c r="H61" s="8">
        <v>2.19</v>
      </c>
      <c r="I61" s="12">
        <v>0</v>
      </c>
    </row>
    <row r="62" spans="2:9" ht="15" customHeight="1" x14ac:dyDescent="0.2">
      <c r="B62" t="s">
        <v>221</v>
      </c>
      <c r="C62" s="12">
        <v>25</v>
      </c>
      <c r="D62" s="8">
        <v>1.36</v>
      </c>
      <c r="E62" s="12">
        <v>8</v>
      </c>
      <c r="F62" s="8">
        <v>1.03</v>
      </c>
      <c r="G62" s="12">
        <v>17</v>
      </c>
      <c r="H62" s="8">
        <v>1.62</v>
      </c>
      <c r="I62" s="12">
        <v>0</v>
      </c>
    </row>
    <row r="63" spans="2:9" ht="15" customHeight="1" x14ac:dyDescent="0.2">
      <c r="B63" t="s">
        <v>159</v>
      </c>
      <c r="C63" s="12">
        <v>24</v>
      </c>
      <c r="D63" s="8">
        <v>1.31</v>
      </c>
      <c r="E63" s="12">
        <v>11</v>
      </c>
      <c r="F63" s="8">
        <v>1.41</v>
      </c>
      <c r="G63" s="12">
        <v>13</v>
      </c>
      <c r="H63" s="8">
        <v>1.24</v>
      </c>
      <c r="I63" s="12">
        <v>0</v>
      </c>
    </row>
    <row r="64" spans="2:9" ht="15" customHeight="1" x14ac:dyDescent="0.2">
      <c r="B64" t="s">
        <v>195</v>
      </c>
      <c r="C64" s="12">
        <v>22</v>
      </c>
      <c r="D64" s="8">
        <v>1.2</v>
      </c>
      <c r="E64" s="12">
        <v>5</v>
      </c>
      <c r="F64" s="8">
        <v>0.64</v>
      </c>
      <c r="G64" s="12">
        <v>17</v>
      </c>
      <c r="H64" s="8">
        <v>1.62</v>
      </c>
      <c r="I64" s="12">
        <v>0</v>
      </c>
    </row>
    <row r="65" spans="2:9" ht="15" customHeight="1" x14ac:dyDescent="0.2">
      <c r="B65" t="s">
        <v>208</v>
      </c>
      <c r="C65" s="12">
        <v>21</v>
      </c>
      <c r="D65" s="8">
        <v>1.1499999999999999</v>
      </c>
      <c r="E65" s="12">
        <v>2</v>
      </c>
      <c r="F65" s="8">
        <v>0.26</v>
      </c>
      <c r="G65" s="12">
        <v>19</v>
      </c>
      <c r="H65" s="8">
        <v>1.81</v>
      </c>
      <c r="I65" s="12">
        <v>0</v>
      </c>
    </row>
    <row r="66" spans="2:9" ht="15" customHeight="1" x14ac:dyDescent="0.2">
      <c r="B66" t="s">
        <v>177</v>
      </c>
      <c r="C66" s="12">
        <v>20</v>
      </c>
      <c r="D66" s="8">
        <v>1.0900000000000001</v>
      </c>
      <c r="E66" s="12">
        <v>2</v>
      </c>
      <c r="F66" s="8">
        <v>0.26</v>
      </c>
      <c r="G66" s="12">
        <v>18</v>
      </c>
      <c r="H66" s="8">
        <v>1.72</v>
      </c>
      <c r="I66" s="12">
        <v>0</v>
      </c>
    </row>
    <row r="67" spans="2:9" ht="15" customHeight="1" x14ac:dyDescent="0.2">
      <c r="B67" t="s">
        <v>198</v>
      </c>
      <c r="C67" s="12">
        <v>20</v>
      </c>
      <c r="D67" s="8">
        <v>1.0900000000000001</v>
      </c>
      <c r="E67" s="12">
        <v>8</v>
      </c>
      <c r="F67" s="8">
        <v>1.03</v>
      </c>
      <c r="G67" s="12">
        <v>12</v>
      </c>
      <c r="H67" s="8">
        <v>1.1399999999999999</v>
      </c>
      <c r="I67" s="12">
        <v>0</v>
      </c>
    </row>
    <row r="68" spans="2:9" ht="15" customHeight="1" x14ac:dyDescent="0.2">
      <c r="B68" t="s">
        <v>174</v>
      </c>
      <c r="C68" s="12">
        <v>20</v>
      </c>
      <c r="D68" s="8">
        <v>1.0900000000000001</v>
      </c>
      <c r="E68" s="12">
        <v>19</v>
      </c>
      <c r="F68" s="8">
        <v>2.44</v>
      </c>
      <c r="G68" s="12">
        <v>1</v>
      </c>
      <c r="H68" s="8">
        <v>0.1</v>
      </c>
      <c r="I68" s="12">
        <v>0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1870-7420-43EC-BFC0-0470B5D67FB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459</v>
      </c>
      <c r="D6" s="8">
        <v>12.67</v>
      </c>
      <c r="E6" s="12">
        <v>53</v>
      </c>
      <c r="F6" s="8">
        <v>4.45</v>
      </c>
      <c r="G6" s="12">
        <v>406</v>
      </c>
      <c r="H6" s="8">
        <v>16.739999999999998</v>
      </c>
      <c r="I6" s="12">
        <v>0</v>
      </c>
    </row>
    <row r="7" spans="2:9" ht="15" customHeight="1" x14ac:dyDescent="0.2">
      <c r="B7" t="s">
        <v>67</v>
      </c>
      <c r="C7" s="12">
        <v>196</v>
      </c>
      <c r="D7" s="8">
        <v>5.41</v>
      </c>
      <c r="E7" s="12">
        <v>35</v>
      </c>
      <c r="F7" s="8">
        <v>2.94</v>
      </c>
      <c r="G7" s="12">
        <v>161</v>
      </c>
      <c r="H7" s="8">
        <v>6.64</v>
      </c>
      <c r="I7" s="12">
        <v>0</v>
      </c>
    </row>
    <row r="8" spans="2:9" ht="15" customHeight="1" x14ac:dyDescent="0.2">
      <c r="B8" t="s">
        <v>68</v>
      </c>
      <c r="C8" s="12">
        <v>6</v>
      </c>
      <c r="D8" s="8">
        <v>0.17</v>
      </c>
      <c r="E8" s="12">
        <v>0</v>
      </c>
      <c r="F8" s="8">
        <v>0</v>
      </c>
      <c r="G8" s="12">
        <v>5</v>
      </c>
      <c r="H8" s="8">
        <v>0.21</v>
      </c>
      <c r="I8" s="12">
        <v>0</v>
      </c>
    </row>
    <row r="9" spans="2:9" ht="15" customHeight="1" x14ac:dyDescent="0.2">
      <c r="B9" t="s">
        <v>69</v>
      </c>
      <c r="C9" s="12">
        <v>119</v>
      </c>
      <c r="D9" s="8">
        <v>3.28</v>
      </c>
      <c r="E9" s="12">
        <v>5</v>
      </c>
      <c r="F9" s="8">
        <v>0.42</v>
      </c>
      <c r="G9" s="12">
        <v>114</v>
      </c>
      <c r="H9" s="8">
        <v>4.7</v>
      </c>
      <c r="I9" s="12">
        <v>0</v>
      </c>
    </row>
    <row r="10" spans="2:9" ht="15" customHeight="1" x14ac:dyDescent="0.2">
      <c r="B10" t="s">
        <v>70</v>
      </c>
      <c r="C10" s="12">
        <v>28</v>
      </c>
      <c r="D10" s="8">
        <v>0.77</v>
      </c>
      <c r="E10" s="12">
        <v>3</v>
      </c>
      <c r="F10" s="8">
        <v>0.25</v>
      </c>
      <c r="G10" s="12">
        <v>25</v>
      </c>
      <c r="H10" s="8">
        <v>1.03</v>
      </c>
      <c r="I10" s="12">
        <v>0</v>
      </c>
    </row>
    <row r="11" spans="2:9" ht="15" customHeight="1" x14ac:dyDescent="0.2">
      <c r="B11" t="s">
        <v>71</v>
      </c>
      <c r="C11" s="12">
        <v>709</v>
      </c>
      <c r="D11" s="8">
        <v>19.57</v>
      </c>
      <c r="E11" s="12">
        <v>222</v>
      </c>
      <c r="F11" s="8">
        <v>18.66</v>
      </c>
      <c r="G11" s="12">
        <v>486</v>
      </c>
      <c r="H11" s="8">
        <v>20.04</v>
      </c>
      <c r="I11" s="12">
        <v>1</v>
      </c>
    </row>
    <row r="12" spans="2:9" ht="15" customHeight="1" x14ac:dyDescent="0.2">
      <c r="B12" t="s">
        <v>72</v>
      </c>
      <c r="C12" s="12">
        <v>15</v>
      </c>
      <c r="D12" s="8">
        <v>0.41</v>
      </c>
      <c r="E12" s="12">
        <v>0</v>
      </c>
      <c r="F12" s="8">
        <v>0</v>
      </c>
      <c r="G12" s="12">
        <v>15</v>
      </c>
      <c r="H12" s="8">
        <v>0.62</v>
      </c>
      <c r="I12" s="12">
        <v>0</v>
      </c>
    </row>
    <row r="13" spans="2:9" ht="15" customHeight="1" x14ac:dyDescent="0.2">
      <c r="B13" t="s">
        <v>73</v>
      </c>
      <c r="C13" s="12">
        <v>522</v>
      </c>
      <c r="D13" s="8">
        <v>14.41</v>
      </c>
      <c r="E13" s="12">
        <v>46</v>
      </c>
      <c r="F13" s="8">
        <v>3.87</v>
      </c>
      <c r="G13" s="12">
        <v>476</v>
      </c>
      <c r="H13" s="8">
        <v>19.63</v>
      </c>
      <c r="I13" s="12">
        <v>0</v>
      </c>
    </row>
    <row r="14" spans="2:9" ht="15" customHeight="1" x14ac:dyDescent="0.2">
      <c r="B14" t="s">
        <v>74</v>
      </c>
      <c r="C14" s="12">
        <v>315</v>
      </c>
      <c r="D14" s="8">
        <v>8.69</v>
      </c>
      <c r="E14" s="12">
        <v>101</v>
      </c>
      <c r="F14" s="8">
        <v>8.49</v>
      </c>
      <c r="G14" s="12">
        <v>213</v>
      </c>
      <c r="H14" s="8">
        <v>8.7799999999999994</v>
      </c>
      <c r="I14" s="12">
        <v>1</v>
      </c>
    </row>
    <row r="15" spans="2:9" ht="15" customHeight="1" x14ac:dyDescent="0.2">
      <c r="B15" t="s">
        <v>75</v>
      </c>
      <c r="C15" s="12">
        <v>403</v>
      </c>
      <c r="D15" s="8">
        <v>11.12</v>
      </c>
      <c r="E15" s="12">
        <v>285</v>
      </c>
      <c r="F15" s="8">
        <v>23.95</v>
      </c>
      <c r="G15" s="12">
        <v>117</v>
      </c>
      <c r="H15" s="8">
        <v>4.82</v>
      </c>
      <c r="I15" s="12">
        <v>0</v>
      </c>
    </row>
    <row r="16" spans="2:9" ht="15" customHeight="1" x14ac:dyDescent="0.2">
      <c r="B16" t="s">
        <v>76</v>
      </c>
      <c r="C16" s="12">
        <v>386</v>
      </c>
      <c r="D16" s="8">
        <v>10.65</v>
      </c>
      <c r="E16" s="12">
        <v>214</v>
      </c>
      <c r="F16" s="8">
        <v>17.98</v>
      </c>
      <c r="G16" s="12">
        <v>172</v>
      </c>
      <c r="H16" s="8">
        <v>7.09</v>
      </c>
      <c r="I16" s="12">
        <v>0</v>
      </c>
    </row>
    <row r="17" spans="2:9" ht="15" customHeight="1" x14ac:dyDescent="0.2">
      <c r="B17" t="s">
        <v>77</v>
      </c>
      <c r="C17" s="12">
        <v>148</v>
      </c>
      <c r="D17" s="8">
        <v>4.09</v>
      </c>
      <c r="E17" s="12">
        <v>85</v>
      </c>
      <c r="F17" s="8">
        <v>7.14</v>
      </c>
      <c r="G17" s="12">
        <v>63</v>
      </c>
      <c r="H17" s="8">
        <v>2.6</v>
      </c>
      <c r="I17" s="12">
        <v>0</v>
      </c>
    </row>
    <row r="18" spans="2:9" ht="15" customHeight="1" x14ac:dyDescent="0.2">
      <c r="B18" t="s">
        <v>78</v>
      </c>
      <c r="C18" s="12">
        <v>211</v>
      </c>
      <c r="D18" s="8">
        <v>5.82</v>
      </c>
      <c r="E18" s="12">
        <v>128</v>
      </c>
      <c r="F18" s="8">
        <v>10.76</v>
      </c>
      <c r="G18" s="12">
        <v>80</v>
      </c>
      <c r="H18" s="8">
        <v>3.3</v>
      </c>
      <c r="I18" s="12">
        <v>1</v>
      </c>
    </row>
    <row r="19" spans="2:9" ht="15" customHeight="1" x14ac:dyDescent="0.2">
      <c r="B19" t="s">
        <v>79</v>
      </c>
      <c r="C19" s="12">
        <v>106</v>
      </c>
      <c r="D19" s="8">
        <v>2.93</v>
      </c>
      <c r="E19" s="12">
        <v>13</v>
      </c>
      <c r="F19" s="8">
        <v>1.0900000000000001</v>
      </c>
      <c r="G19" s="12">
        <v>92</v>
      </c>
      <c r="H19" s="8">
        <v>3.79</v>
      </c>
      <c r="I19" s="12">
        <v>0</v>
      </c>
    </row>
    <row r="20" spans="2:9" ht="15" customHeight="1" x14ac:dyDescent="0.2">
      <c r="B20" s="9" t="s">
        <v>280</v>
      </c>
      <c r="C20" s="12">
        <f>SUM(LTBL_13208[総数／事業所数])</f>
        <v>3623</v>
      </c>
      <c r="E20" s="12">
        <f>SUBTOTAL(109,LTBL_13208[個人／事業所数])</f>
        <v>1190</v>
      </c>
      <c r="G20" s="12">
        <f>SUBTOTAL(109,LTBL_13208[法人／事業所数])</f>
        <v>2425</v>
      </c>
      <c r="I20" s="12">
        <f>SUBTOTAL(109,LTBL_13208[法人以外の団体／事業所数])</f>
        <v>3</v>
      </c>
    </row>
    <row r="21" spans="2:9" ht="15" customHeight="1" x14ac:dyDescent="0.2">
      <c r="E21" s="11">
        <f>LTBL_13208[[#Totals],[個人／事業所数]]/LTBL_13208[[#Totals],[総数／事業所数]]</f>
        <v>0.32845707976814792</v>
      </c>
      <c r="G21" s="11">
        <f>LTBL_13208[[#Totals],[法人／事業所数]]/LTBL_13208[[#Totals],[総数／事業所数]]</f>
        <v>0.66933480540988133</v>
      </c>
      <c r="I21" s="11">
        <f>LTBL_13208[[#Totals],[法人以外の団体／事業所数]]/LTBL_13208[[#Totals],[総数／事業所数]]</f>
        <v>8.2804305823902839E-4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434</v>
      </c>
      <c r="D24" s="8">
        <v>11.98</v>
      </c>
      <c r="E24" s="12">
        <v>41</v>
      </c>
      <c r="F24" s="8">
        <v>3.45</v>
      </c>
      <c r="G24" s="12">
        <v>393</v>
      </c>
      <c r="H24" s="8">
        <v>16.21</v>
      </c>
      <c r="I24" s="12">
        <v>0</v>
      </c>
    </row>
    <row r="25" spans="2:9" ht="15" customHeight="1" x14ac:dyDescent="0.2">
      <c r="B25" t="s">
        <v>103</v>
      </c>
      <c r="C25" s="12">
        <v>370</v>
      </c>
      <c r="D25" s="8">
        <v>10.210000000000001</v>
      </c>
      <c r="E25" s="12">
        <v>283</v>
      </c>
      <c r="F25" s="8">
        <v>23.78</v>
      </c>
      <c r="G25" s="12">
        <v>87</v>
      </c>
      <c r="H25" s="8">
        <v>3.59</v>
      </c>
      <c r="I25" s="12">
        <v>0</v>
      </c>
    </row>
    <row r="26" spans="2:9" ht="15" customHeight="1" x14ac:dyDescent="0.2">
      <c r="B26" t="s">
        <v>104</v>
      </c>
      <c r="C26" s="12">
        <v>304</v>
      </c>
      <c r="D26" s="8">
        <v>8.39</v>
      </c>
      <c r="E26" s="12">
        <v>192</v>
      </c>
      <c r="F26" s="8">
        <v>16.13</v>
      </c>
      <c r="G26" s="12">
        <v>112</v>
      </c>
      <c r="H26" s="8">
        <v>4.62</v>
      </c>
      <c r="I26" s="12">
        <v>0</v>
      </c>
    </row>
    <row r="27" spans="2:9" ht="15" customHeight="1" x14ac:dyDescent="0.2">
      <c r="B27" t="s">
        <v>101</v>
      </c>
      <c r="C27" s="12">
        <v>207</v>
      </c>
      <c r="D27" s="8">
        <v>5.71</v>
      </c>
      <c r="E27" s="12">
        <v>76</v>
      </c>
      <c r="F27" s="8">
        <v>6.39</v>
      </c>
      <c r="G27" s="12">
        <v>130</v>
      </c>
      <c r="H27" s="8">
        <v>5.36</v>
      </c>
      <c r="I27" s="12">
        <v>1</v>
      </c>
    </row>
    <row r="28" spans="2:9" ht="15" customHeight="1" x14ac:dyDescent="0.2">
      <c r="B28" t="s">
        <v>98</v>
      </c>
      <c r="C28" s="12">
        <v>189</v>
      </c>
      <c r="D28" s="8">
        <v>5.22</v>
      </c>
      <c r="E28" s="12">
        <v>77</v>
      </c>
      <c r="F28" s="8">
        <v>6.47</v>
      </c>
      <c r="G28" s="12">
        <v>112</v>
      </c>
      <c r="H28" s="8">
        <v>4.62</v>
      </c>
      <c r="I28" s="12">
        <v>0</v>
      </c>
    </row>
    <row r="29" spans="2:9" ht="15" customHeight="1" x14ac:dyDescent="0.2">
      <c r="B29" t="s">
        <v>88</v>
      </c>
      <c r="C29" s="12">
        <v>186</v>
      </c>
      <c r="D29" s="8">
        <v>5.13</v>
      </c>
      <c r="E29" s="12">
        <v>17</v>
      </c>
      <c r="F29" s="8">
        <v>1.43</v>
      </c>
      <c r="G29" s="12">
        <v>169</v>
      </c>
      <c r="H29" s="8">
        <v>6.97</v>
      </c>
      <c r="I29" s="12">
        <v>0</v>
      </c>
    </row>
    <row r="30" spans="2:9" ht="15" customHeight="1" x14ac:dyDescent="0.2">
      <c r="B30" t="s">
        <v>106</v>
      </c>
      <c r="C30" s="12">
        <v>170</v>
      </c>
      <c r="D30" s="8">
        <v>4.6900000000000004</v>
      </c>
      <c r="E30" s="12">
        <v>126</v>
      </c>
      <c r="F30" s="8">
        <v>10.59</v>
      </c>
      <c r="G30" s="12">
        <v>44</v>
      </c>
      <c r="H30" s="8">
        <v>1.81</v>
      </c>
      <c r="I30" s="12">
        <v>0</v>
      </c>
    </row>
    <row r="31" spans="2:9" ht="15" customHeight="1" x14ac:dyDescent="0.2">
      <c r="B31" t="s">
        <v>89</v>
      </c>
      <c r="C31" s="12">
        <v>148</v>
      </c>
      <c r="D31" s="8">
        <v>4.09</v>
      </c>
      <c r="E31" s="12">
        <v>22</v>
      </c>
      <c r="F31" s="8">
        <v>1.85</v>
      </c>
      <c r="G31" s="12">
        <v>126</v>
      </c>
      <c r="H31" s="8">
        <v>5.2</v>
      </c>
      <c r="I31" s="12">
        <v>0</v>
      </c>
    </row>
    <row r="32" spans="2:9" ht="15" customHeight="1" x14ac:dyDescent="0.2">
      <c r="B32" t="s">
        <v>105</v>
      </c>
      <c r="C32" s="12">
        <v>148</v>
      </c>
      <c r="D32" s="8">
        <v>4.09</v>
      </c>
      <c r="E32" s="12">
        <v>85</v>
      </c>
      <c r="F32" s="8">
        <v>7.14</v>
      </c>
      <c r="G32" s="12">
        <v>63</v>
      </c>
      <c r="H32" s="8">
        <v>2.6</v>
      </c>
      <c r="I32" s="12">
        <v>0</v>
      </c>
    </row>
    <row r="33" spans="2:9" ht="15" customHeight="1" x14ac:dyDescent="0.2">
      <c r="B33" t="s">
        <v>96</v>
      </c>
      <c r="C33" s="12">
        <v>126</v>
      </c>
      <c r="D33" s="8">
        <v>3.48</v>
      </c>
      <c r="E33" s="12">
        <v>62</v>
      </c>
      <c r="F33" s="8">
        <v>5.21</v>
      </c>
      <c r="G33" s="12">
        <v>64</v>
      </c>
      <c r="H33" s="8">
        <v>2.64</v>
      </c>
      <c r="I33" s="12">
        <v>0</v>
      </c>
    </row>
    <row r="34" spans="2:9" ht="15" customHeight="1" x14ac:dyDescent="0.2">
      <c r="B34" t="s">
        <v>90</v>
      </c>
      <c r="C34" s="12">
        <v>125</v>
      </c>
      <c r="D34" s="8">
        <v>3.45</v>
      </c>
      <c r="E34" s="12">
        <v>14</v>
      </c>
      <c r="F34" s="8">
        <v>1.18</v>
      </c>
      <c r="G34" s="12">
        <v>111</v>
      </c>
      <c r="H34" s="8">
        <v>4.58</v>
      </c>
      <c r="I34" s="12">
        <v>0</v>
      </c>
    </row>
    <row r="35" spans="2:9" ht="15" customHeight="1" x14ac:dyDescent="0.2">
      <c r="B35" t="s">
        <v>95</v>
      </c>
      <c r="C35" s="12">
        <v>103</v>
      </c>
      <c r="D35" s="8">
        <v>2.84</v>
      </c>
      <c r="E35" s="12">
        <v>38</v>
      </c>
      <c r="F35" s="8">
        <v>3.19</v>
      </c>
      <c r="G35" s="12">
        <v>65</v>
      </c>
      <c r="H35" s="8">
        <v>2.68</v>
      </c>
      <c r="I35" s="12">
        <v>0</v>
      </c>
    </row>
    <row r="36" spans="2:9" ht="15" customHeight="1" x14ac:dyDescent="0.2">
      <c r="B36" t="s">
        <v>102</v>
      </c>
      <c r="C36" s="12">
        <v>89</v>
      </c>
      <c r="D36" s="8">
        <v>2.46</v>
      </c>
      <c r="E36" s="12">
        <v>25</v>
      </c>
      <c r="F36" s="8">
        <v>2.1</v>
      </c>
      <c r="G36" s="12">
        <v>64</v>
      </c>
      <c r="H36" s="8">
        <v>2.64</v>
      </c>
      <c r="I36" s="12">
        <v>0</v>
      </c>
    </row>
    <row r="37" spans="2:9" ht="15" customHeight="1" x14ac:dyDescent="0.2">
      <c r="B37" t="s">
        <v>99</v>
      </c>
      <c r="C37" s="12">
        <v>78</v>
      </c>
      <c r="D37" s="8">
        <v>2.15</v>
      </c>
      <c r="E37" s="12">
        <v>4</v>
      </c>
      <c r="F37" s="8">
        <v>0.34</v>
      </c>
      <c r="G37" s="12">
        <v>74</v>
      </c>
      <c r="H37" s="8">
        <v>3.05</v>
      </c>
      <c r="I37" s="12">
        <v>0</v>
      </c>
    </row>
    <row r="38" spans="2:9" ht="15" customHeight="1" x14ac:dyDescent="0.2">
      <c r="B38" t="s">
        <v>107</v>
      </c>
      <c r="C38" s="12">
        <v>65</v>
      </c>
      <c r="D38" s="8">
        <v>1.79</v>
      </c>
      <c r="E38" s="12">
        <v>1</v>
      </c>
      <c r="F38" s="8">
        <v>0.08</v>
      </c>
      <c r="G38" s="12">
        <v>64</v>
      </c>
      <c r="H38" s="8">
        <v>2.64</v>
      </c>
      <c r="I38" s="12">
        <v>0</v>
      </c>
    </row>
    <row r="39" spans="2:9" ht="15" customHeight="1" x14ac:dyDescent="0.2">
      <c r="B39" t="s">
        <v>97</v>
      </c>
      <c r="C39" s="12">
        <v>64</v>
      </c>
      <c r="D39" s="8">
        <v>1.77</v>
      </c>
      <c r="E39" s="12">
        <v>22</v>
      </c>
      <c r="F39" s="8">
        <v>1.85</v>
      </c>
      <c r="G39" s="12">
        <v>42</v>
      </c>
      <c r="H39" s="8">
        <v>1.73</v>
      </c>
      <c r="I39" s="12">
        <v>0</v>
      </c>
    </row>
    <row r="40" spans="2:9" ht="15" customHeight="1" x14ac:dyDescent="0.2">
      <c r="B40" t="s">
        <v>91</v>
      </c>
      <c r="C40" s="12">
        <v>61</v>
      </c>
      <c r="D40" s="8">
        <v>1.68</v>
      </c>
      <c r="E40" s="12">
        <v>4</v>
      </c>
      <c r="F40" s="8">
        <v>0.34</v>
      </c>
      <c r="G40" s="12">
        <v>57</v>
      </c>
      <c r="H40" s="8">
        <v>2.35</v>
      </c>
      <c r="I40" s="12">
        <v>0</v>
      </c>
    </row>
    <row r="41" spans="2:9" ht="15" customHeight="1" x14ac:dyDescent="0.2">
      <c r="B41" t="s">
        <v>94</v>
      </c>
      <c r="C41" s="12">
        <v>58</v>
      </c>
      <c r="D41" s="8">
        <v>1.6</v>
      </c>
      <c r="E41" s="12">
        <v>5</v>
      </c>
      <c r="F41" s="8">
        <v>0.42</v>
      </c>
      <c r="G41" s="12">
        <v>53</v>
      </c>
      <c r="H41" s="8">
        <v>2.19</v>
      </c>
      <c r="I41" s="12">
        <v>0</v>
      </c>
    </row>
    <row r="42" spans="2:9" ht="15" customHeight="1" x14ac:dyDescent="0.2">
      <c r="B42" t="s">
        <v>115</v>
      </c>
      <c r="C42" s="12">
        <v>52</v>
      </c>
      <c r="D42" s="8">
        <v>1.44</v>
      </c>
      <c r="E42" s="12">
        <v>17</v>
      </c>
      <c r="F42" s="8">
        <v>1.43</v>
      </c>
      <c r="G42" s="12">
        <v>35</v>
      </c>
      <c r="H42" s="8">
        <v>1.44</v>
      </c>
      <c r="I42" s="12">
        <v>0</v>
      </c>
    </row>
    <row r="43" spans="2:9" ht="15" customHeight="1" x14ac:dyDescent="0.2">
      <c r="B43" t="s">
        <v>93</v>
      </c>
      <c r="C43" s="12">
        <v>50</v>
      </c>
      <c r="D43" s="8">
        <v>1.38</v>
      </c>
      <c r="E43" s="12">
        <v>4</v>
      </c>
      <c r="F43" s="8">
        <v>0.34</v>
      </c>
      <c r="G43" s="12">
        <v>46</v>
      </c>
      <c r="H43" s="8">
        <v>1.9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232</v>
      </c>
      <c r="D47" s="8">
        <v>6.4</v>
      </c>
      <c r="E47" s="12">
        <v>32</v>
      </c>
      <c r="F47" s="8">
        <v>2.69</v>
      </c>
      <c r="G47" s="12">
        <v>200</v>
      </c>
      <c r="H47" s="8">
        <v>8.25</v>
      </c>
      <c r="I47" s="12">
        <v>0</v>
      </c>
    </row>
    <row r="48" spans="2:9" ht="15" customHeight="1" x14ac:dyDescent="0.2">
      <c r="B48" t="s">
        <v>163</v>
      </c>
      <c r="C48" s="12">
        <v>135</v>
      </c>
      <c r="D48" s="8">
        <v>3.73</v>
      </c>
      <c r="E48" s="12">
        <v>1</v>
      </c>
      <c r="F48" s="8">
        <v>0.08</v>
      </c>
      <c r="G48" s="12">
        <v>134</v>
      </c>
      <c r="H48" s="8">
        <v>5.53</v>
      </c>
      <c r="I48" s="12">
        <v>0</v>
      </c>
    </row>
    <row r="49" spans="2:9" ht="15" customHeight="1" x14ac:dyDescent="0.2">
      <c r="B49" t="s">
        <v>172</v>
      </c>
      <c r="C49" s="12">
        <v>135</v>
      </c>
      <c r="D49" s="8">
        <v>3.73</v>
      </c>
      <c r="E49" s="12">
        <v>87</v>
      </c>
      <c r="F49" s="8">
        <v>7.31</v>
      </c>
      <c r="G49" s="12">
        <v>48</v>
      </c>
      <c r="H49" s="8">
        <v>1.98</v>
      </c>
      <c r="I49" s="12">
        <v>0</v>
      </c>
    </row>
    <row r="50" spans="2:9" ht="15" customHeight="1" x14ac:dyDescent="0.2">
      <c r="B50" t="s">
        <v>175</v>
      </c>
      <c r="C50" s="12">
        <v>110</v>
      </c>
      <c r="D50" s="8">
        <v>3.04</v>
      </c>
      <c r="E50" s="12">
        <v>79</v>
      </c>
      <c r="F50" s="8">
        <v>6.64</v>
      </c>
      <c r="G50" s="12">
        <v>31</v>
      </c>
      <c r="H50" s="8">
        <v>1.28</v>
      </c>
      <c r="I50" s="12">
        <v>0</v>
      </c>
    </row>
    <row r="51" spans="2:9" ht="15" customHeight="1" x14ac:dyDescent="0.2">
      <c r="B51" t="s">
        <v>168</v>
      </c>
      <c r="C51" s="12">
        <v>106</v>
      </c>
      <c r="D51" s="8">
        <v>2.93</v>
      </c>
      <c r="E51" s="12">
        <v>78</v>
      </c>
      <c r="F51" s="8">
        <v>6.55</v>
      </c>
      <c r="G51" s="12">
        <v>28</v>
      </c>
      <c r="H51" s="8">
        <v>1.1499999999999999</v>
      </c>
      <c r="I51" s="12">
        <v>0</v>
      </c>
    </row>
    <row r="52" spans="2:9" ht="15" customHeight="1" x14ac:dyDescent="0.2">
      <c r="B52" t="s">
        <v>173</v>
      </c>
      <c r="C52" s="12">
        <v>103</v>
      </c>
      <c r="D52" s="8">
        <v>2.84</v>
      </c>
      <c r="E52" s="12">
        <v>62</v>
      </c>
      <c r="F52" s="8">
        <v>5.21</v>
      </c>
      <c r="G52" s="12">
        <v>41</v>
      </c>
      <c r="H52" s="8">
        <v>1.69</v>
      </c>
      <c r="I52" s="12">
        <v>0</v>
      </c>
    </row>
    <row r="53" spans="2:9" ht="15" customHeight="1" x14ac:dyDescent="0.2">
      <c r="B53" t="s">
        <v>169</v>
      </c>
      <c r="C53" s="12">
        <v>83</v>
      </c>
      <c r="D53" s="8">
        <v>2.29</v>
      </c>
      <c r="E53" s="12">
        <v>63</v>
      </c>
      <c r="F53" s="8">
        <v>5.29</v>
      </c>
      <c r="G53" s="12">
        <v>20</v>
      </c>
      <c r="H53" s="8">
        <v>0.82</v>
      </c>
      <c r="I53" s="12">
        <v>0</v>
      </c>
    </row>
    <row r="54" spans="2:9" ht="15" customHeight="1" x14ac:dyDescent="0.2">
      <c r="B54" t="s">
        <v>171</v>
      </c>
      <c r="C54" s="12">
        <v>74</v>
      </c>
      <c r="D54" s="8">
        <v>2.04</v>
      </c>
      <c r="E54" s="12">
        <v>67</v>
      </c>
      <c r="F54" s="8">
        <v>5.63</v>
      </c>
      <c r="G54" s="12">
        <v>7</v>
      </c>
      <c r="H54" s="8">
        <v>0.28999999999999998</v>
      </c>
      <c r="I54" s="12">
        <v>0</v>
      </c>
    </row>
    <row r="55" spans="2:9" ht="15" customHeight="1" x14ac:dyDescent="0.2">
      <c r="B55" t="s">
        <v>197</v>
      </c>
      <c r="C55" s="12">
        <v>70</v>
      </c>
      <c r="D55" s="8">
        <v>1.93</v>
      </c>
      <c r="E55" s="12">
        <v>29</v>
      </c>
      <c r="F55" s="8">
        <v>2.44</v>
      </c>
      <c r="G55" s="12">
        <v>41</v>
      </c>
      <c r="H55" s="8">
        <v>1.69</v>
      </c>
      <c r="I55" s="12">
        <v>0</v>
      </c>
    </row>
    <row r="56" spans="2:9" ht="15" customHeight="1" x14ac:dyDescent="0.2">
      <c r="B56" t="s">
        <v>160</v>
      </c>
      <c r="C56" s="12">
        <v>69</v>
      </c>
      <c r="D56" s="8">
        <v>1.9</v>
      </c>
      <c r="E56" s="12">
        <v>4</v>
      </c>
      <c r="F56" s="8">
        <v>0.34</v>
      </c>
      <c r="G56" s="12">
        <v>65</v>
      </c>
      <c r="H56" s="8">
        <v>2.68</v>
      </c>
      <c r="I56" s="12">
        <v>0</v>
      </c>
    </row>
    <row r="57" spans="2:9" ht="15" customHeight="1" x14ac:dyDescent="0.2">
      <c r="B57" t="s">
        <v>159</v>
      </c>
      <c r="C57" s="12">
        <v>65</v>
      </c>
      <c r="D57" s="8">
        <v>1.79</v>
      </c>
      <c r="E57" s="12">
        <v>37</v>
      </c>
      <c r="F57" s="8">
        <v>3.11</v>
      </c>
      <c r="G57" s="12">
        <v>28</v>
      </c>
      <c r="H57" s="8">
        <v>1.1499999999999999</v>
      </c>
      <c r="I57" s="12">
        <v>0</v>
      </c>
    </row>
    <row r="58" spans="2:9" ht="15" customHeight="1" x14ac:dyDescent="0.2">
      <c r="B58" t="s">
        <v>170</v>
      </c>
      <c r="C58" s="12">
        <v>64</v>
      </c>
      <c r="D58" s="8">
        <v>1.77</v>
      </c>
      <c r="E58" s="12">
        <v>58</v>
      </c>
      <c r="F58" s="8">
        <v>4.87</v>
      </c>
      <c r="G58" s="12">
        <v>6</v>
      </c>
      <c r="H58" s="8">
        <v>0.25</v>
      </c>
      <c r="I58" s="12">
        <v>0</v>
      </c>
    </row>
    <row r="59" spans="2:9" ht="15" customHeight="1" x14ac:dyDescent="0.2">
      <c r="B59" t="s">
        <v>166</v>
      </c>
      <c r="C59" s="12">
        <v>63</v>
      </c>
      <c r="D59" s="8">
        <v>1.74</v>
      </c>
      <c r="E59" s="12">
        <v>3</v>
      </c>
      <c r="F59" s="8">
        <v>0.25</v>
      </c>
      <c r="G59" s="12">
        <v>60</v>
      </c>
      <c r="H59" s="8">
        <v>2.4700000000000002</v>
      </c>
      <c r="I59" s="12">
        <v>0</v>
      </c>
    </row>
    <row r="60" spans="2:9" ht="15" customHeight="1" x14ac:dyDescent="0.2">
      <c r="B60" t="s">
        <v>200</v>
      </c>
      <c r="C60" s="12">
        <v>60</v>
      </c>
      <c r="D60" s="8">
        <v>1.66</v>
      </c>
      <c r="E60" s="12">
        <v>8</v>
      </c>
      <c r="F60" s="8">
        <v>0.67</v>
      </c>
      <c r="G60" s="12">
        <v>52</v>
      </c>
      <c r="H60" s="8">
        <v>2.14</v>
      </c>
      <c r="I60" s="12">
        <v>0</v>
      </c>
    </row>
    <row r="61" spans="2:9" ht="15" customHeight="1" x14ac:dyDescent="0.2">
      <c r="B61" t="s">
        <v>157</v>
      </c>
      <c r="C61" s="12">
        <v>56</v>
      </c>
      <c r="D61" s="8">
        <v>1.55</v>
      </c>
      <c r="E61" s="12">
        <v>4</v>
      </c>
      <c r="F61" s="8">
        <v>0.34</v>
      </c>
      <c r="G61" s="12">
        <v>52</v>
      </c>
      <c r="H61" s="8">
        <v>2.14</v>
      </c>
      <c r="I61" s="12">
        <v>0</v>
      </c>
    </row>
    <row r="62" spans="2:9" ht="15" customHeight="1" x14ac:dyDescent="0.2">
      <c r="B62" t="s">
        <v>167</v>
      </c>
      <c r="C62" s="12">
        <v>54</v>
      </c>
      <c r="D62" s="8">
        <v>1.49</v>
      </c>
      <c r="E62" s="12">
        <v>11</v>
      </c>
      <c r="F62" s="8">
        <v>0.92</v>
      </c>
      <c r="G62" s="12">
        <v>43</v>
      </c>
      <c r="H62" s="8">
        <v>1.77</v>
      </c>
      <c r="I62" s="12">
        <v>0</v>
      </c>
    </row>
    <row r="63" spans="2:9" ht="15" customHeight="1" x14ac:dyDescent="0.2">
      <c r="B63" t="s">
        <v>161</v>
      </c>
      <c r="C63" s="12">
        <v>52</v>
      </c>
      <c r="D63" s="8">
        <v>1.44</v>
      </c>
      <c r="E63" s="12">
        <v>3</v>
      </c>
      <c r="F63" s="8">
        <v>0.25</v>
      </c>
      <c r="G63" s="12">
        <v>49</v>
      </c>
      <c r="H63" s="8">
        <v>2.02</v>
      </c>
      <c r="I63" s="12">
        <v>0</v>
      </c>
    </row>
    <row r="64" spans="2:9" ht="15" customHeight="1" x14ac:dyDescent="0.2">
      <c r="B64" t="s">
        <v>192</v>
      </c>
      <c r="C64" s="12">
        <v>51</v>
      </c>
      <c r="D64" s="8">
        <v>1.41</v>
      </c>
      <c r="E64" s="12">
        <v>9</v>
      </c>
      <c r="F64" s="8">
        <v>0.76</v>
      </c>
      <c r="G64" s="12">
        <v>42</v>
      </c>
      <c r="H64" s="8">
        <v>1.73</v>
      </c>
      <c r="I64" s="12">
        <v>0</v>
      </c>
    </row>
    <row r="65" spans="2:9" ht="15" customHeight="1" x14ac:dyDescent="0.2">
      <c r="B65" t="s">
        <v>165</v>
      </c>
      <c r="C65" s="12">
        <v>51</v>
      </c>
      <c r="D65" s="8">
        <v>1.41</v>
      </c>
      <c r="E65" s="12">
        <v>2</v>
      </c>
      <c r="F65" s="8">
        <v>0.17</v>
      </c>
      <c r="G65" s="12">
        <v>48</v>
      </c>
      <c r="H65" s="8">
        <v>1.98</v>
      </c>
      <c r="I65" s="12">
        <v>1</v>
      </c>
    </row>
    <row r="66" spans="2:9" ht="15" customHeight="1" x14ac:dyDescent="0.2">
      <c r="B66" t="s">
        <v>201</v>
      </c>
      <c r="C66" s="12">
        <v>50</v>
      </c>
      <c r="D66" s="8">
        <v>1.38</v>
      </c>
      <c r="E66" s="12">
        <v>4</v>
      </c>
      <c r="F66" s="8">
        <v>0.34</v>
      </c>
      <c r="G66" s="12">
        <v>46</v>
      </c>
      <c r="H66" s="8">
        <v>1.9</v>
      </c>
      <c r="I66" s="12">
        <v>0</v>
      </c>
    </row>
    <row r="67" spans="2:9" ht="15" customHeight="1" x14ac:dyDescent="0.2">
      <c r="B67" t="s">
        <v>174</v>
      </c>
      <c r="C67" s="12">
        <v>50</v>
      </c>
      <c r="D67" s="8">
        <v>1.38</v>
      </c>
      <c r="E67" s="12">
        <v>45</v>
      </c>
      <c r="F67" s="8">
        <v>3.78</v>
      </c>
      <c r="G67" s="12">
        <v>5</v>
      </c>
      <c r="H67" s="8">
        <v>0.21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13BA-A2DE-42D8-B958-FB24EE188C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949</v>
      </c>
      <c r="D6" s="8">
        <v>15.12</v>
      </c>
      <c r="E6" s="12">
        <v>122</v>
      </c>
      <c r="F6" s="8">
        <v>5.67</v>
      </c>
      <c r="G6" s="12">
        <v>826</v>
      </c>
      <c r="H6" s="8">
        <v>20.100000000000001</v>
      </c>
      <c r="I6" s="12">
        <v>1</v>
      </c>
    </row>
    <row r="7" spans="2:9" ht="15" customHeight="1" x14ac:dyDescent="0.2">
      <c r="B7" t="s">
        <v>67</v>
      </c>
      <c r="C7" s="12">
        <v>281</v>
      </c>
      <c r="D7" s="8">
        <v>4.4800000000000004</v>
      </c>
      <c r="E7" s="12">
        <v>42</v>
      </c>
      <c r="F7" s="8">
        <v>1.95</v>
      </c>
      <c r="G7" s="12">
        <v>239</v>
      </c>
      <c r="H7" s="8">
        <v>5.82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0.05</v>
      </c>
      <c r="I8" s="12">
        <v>0</v>
      </c>
    </row>
    <row r="9" spans="2:9" ht="15" customHeight="1" x14ac:dyDescent="0.2">
      <c r="B9" t="s">
        <v>69</v>
      </c>
      <c r="C9" s="12">
        <v>179</v>
      </c>
      <c r="D9" s="8">
        <v>2.85</v>
      </c>
      <c r="E9" s="12">
        <v>5</v>
      </c>
      <c r="F9" s="8">
        <v>0.23</v>
      </c>
      <c r="G9" s="12">
        <v>174</v>
      </c>
      <c r="H9" s="8">
        <v>4.2300000000000004</v>
      </c>
      <c r="I9" s="12">
        <v>0</v>
      </c>
    </row>
    <row r="10" spans="2:9" ht="15" customHeight="1" x14ac:dyDescent="0.2">
      <c r="B10" t="s">
        <v>70</v>
      </c>
      <c r="C10" s="12">
        <v>56</v>
      </c>
      <c r="D10" s="8">
        <v>0.89</v>
      </c>
      <c r="E10" s="12">
        <v>12</v>
      </c>
      <c r="F10" s="8">
        <v>0.56000000000000005</v>
      </c>
      <c r="G10" s="12">
        <v>44</v>
      </c>
      <c r="H10" s="8">
        <v>1.07</v>
      </c>
      <c r="I10" s="12">
        <v>0</v>
      </c>
    </row>
    <row r="11" spans="2:9" ht="15" customHeight="1" x14ac:dyDescent="0.2">
      <c r="B11" t="s">
        <v>71</v>
      </c>
      <c r="C11" s="12">
        <v>1252</v>
      </c>
      <c r="D11" s="8">
        <v>19.940000000000001</v>
      </c>
      <c r="E11" s="12">
        <v>347</v>
      </c>
      <c r="F11" s="8">
        <v>16.13</v>
      </c>
      <c r="G11" s="12">
        <v>904</v>
      </c>
      <c r="H11" s="8">
        <v>22</v>
      </c>
      <c r="I11" s="12">
        <v>1</v>
      </c>
    </row>
    <row r="12" spans="2:9" ht="15" customHeight="1" x14ac:dyDescent="0.2">
      <c r="B12" t="s">
        <v>72</v>
      </c>
      <c r="C12" s="12">
        <v>52</v>
      </c>
      <c r="D12" s="8">
        <v>0.83</v>
      </c>
      <c r="E12" s="12">
        <v>12</v>
      </c>
      <c r="F12" s="8">
        <v>0.56000000000000005</v>
      </c>
      <c r="G12" s="12">
        <v>40</v>
      </c>
      <c r="H12" s="8">
        <v>0.97</v>
      </c>
      <c r="I12" s="12">
        <v>0</v>
      </c>
    </row>
    <row r="13" spans="2:9" ht="15" customHeight="1" x14ac:dyDescent="0.2">
      <c r="B13" t="s">
        <v>73</v>
      </c>
      <c r="C13" s="12">
        <v>836</v>
      </c>
      <c r="D13" s="8">
        <v>13.32</v>
      </c>
      <c r="E13" s="12">
        <v>144</v>
      </c>
      <c r="F13" s="8">
        <v>6.69</v>
      </c>
      <c r="G13" s="12">
        <v>690</v>
      </c>
      <c r="H13" s="8">
        <v>16.79</v>
      </c>
      <c r="I13" s="12">
        <v>2</v>
      </c>
    </row>
    <row r="14" spans="2:9" ht="15" customHeight="1" x14ac:dyDescent="0.2">
      <c r="B14" t="s">
        <v>74</v>
      </c>
      <c r="C14" s="12">
        <v>550</v>
      </c>
      <c r="D14" s="8">
        <v>8.76</v>
      </c>
      <c r="E14" s="12">
        <v>200</v>
      </c>
      <c r="F14" s="8">
        <v>9.3000000000000007</v>
      </c>
      <c r="G14" s="12">
        <v>346</v>
      </c>
      <c r="H14" s="8">
        <v>8.42</v>
      </c>
      <c r="I14" s="12">
        <v>3</v>
      </c>
    </row>
    <row r="15" spans="2:9" ht="15" customHeight="1" x14ac:dyDescent="0.2">
      <c r="B15" t="s">
        <v>75</v>
      </c>
      <c r="C15" s="12">
        <v>507</v>
      </c>
      <c r="D15" s="8">
        <v>8.08</v>
      </c>
      <c r="E15" s="12">
        <v>349</v>
      </c>
      <c r="F15" s="8">
        <v>16.23</v>
      </c>
      <c r="G15" s="12">
        <v>158</v>
      </c>
      <c r="H15" s="8">
        <v>3.84</v>
      </c>
      <c r="I15" s="12">
        <v>0</v>
      </c>
    </row>
    <row r="16" spans="2:9" ht="15" customHeight="1" x14ac:dyDescent="0.2">
      <c r="B16" t="s">
        <v>76</v>
      </c>
      <c r="C16" s="12">
        <v>699</v>
      </c>
      <c r="D16" s="8">
        <v>11.13</v>
      </c>
      <c r="E16" s="12">
        <v>454</v>
      </c>
      <c r="F16" s="8">
        <v>21.11</v>
      </c>
      <c r="G16" s="12">
        <v>243</v>
      </c>
      <c r="H16" s="8">
        <v>5.91</v>
      </c>
      <c r="I16" s="12">
        <v>2</v>
      </c>
    </row>
    <row r="17" spans="2:9" ht="15" customHeight="1" x14ac:dyDescent="0.2">
      <c r="B17" t="s">
        <v>77</v>
      </c>
      <c r="C17" s="12">
        <v>328</v>
      </c>
      <c r="D17" s="8">
        <v>5.22</v>
      </c>
      <c r="E17" s="12">
        <v>205</v>
      </c>
      <c r="F17" s="8">
        <v>9.5299999999999994</v>
      </c>
      <c r="G17" s="12">
        <v>121</v>
      </c>
      <c r="H17" s="8">
        <v>2.94</v>
      </c>
      <c r="I17" s="12">
        <v>1</v>
      </c>
    </row>
    <row r="18" spans="2:9" ht="15" customHeight="1" x14ac:dyDescent="0.2">
      <c r="B18" t="s">
        <v>78</v>
      </c>
      <c r="C18" s="12">
        <v>364</v>
      </c>
      <c r="D18" s="8">
        <v>5.8</v>
      </c>
      <c r="E18" s="12">
        <v>224</v>
      </c>
      <c r="F18" s="8">
        <v>10.41</v>
      </c>
      <c r="G18" s="12">
        <v>139</v>
      </c>
      <c r="H18" s="8">
        <v>3.38</v>
      </c>
      <c r="I18" s="12">
        <v>0</v>
      </c>
    </row>
    <row r="19" spans="2:9" ht="15" customHeight="1" x14ac:dyDescent="0.2">
      <c r="B19" t="s">
        <v>79</v>
      </c>
      <c r="C19" s="12">
        <v>223</v>
      </c>
      <c r="D19" s="8">
        <v>3.55</v>
      </c>
      <c r="E19" s="12">
        <v>35</v>
      </c>
      <c r="F19" s="8">
        <v>1.63</v>
      </c>
      <c r="G19" s="12">
        <v>184</v>
      </c>
      <c r="H19" s="8">
        <v>4.4800000000000004</v>
      </c>
      <c r="I19" s="12">
        <v>0</v>
      </c>
    </row>
    <row r="20" spans="2:9" ht="15" customHeight="1" x14ac:dyDescent="0.2">
      <c r="B20" s="9" t="s">
        <v>280</v>
      </c>
      <c r="C20" s="12">
        <f>SUM(LTBL_13209[総数／事業所数])</f>
        <v>6278</v>
      </c>
      <c r="E20" s="12">
        <f>SUBTOTAL(109,LTBL_13209[個人／事業所数])</f>
        <v>2151</v>
      </c>
      <c r="G20" s="12">
        <f>SUBTOTAL(109,LTBL_13209[法人／事業所数])</f>
        <v>4110</v>
      </c>
      <c r="I20" s="12">
        <f>SUBTOTAL(109,LTBL_13209[法人以外の団体／事業所数])</f>
        <v>10</v>
      </c>
    </row>
    <row r="21" spans="2:9" ht="15" customHeight="1" x14ac:dyDescent="0.2">
      <c r="E21" s="11">
        <f>LTBL_13209[[#Totals],[個人／事業所数]]/LTBL_13209[[#Totals],[総数／事業所数]]</f>
        <v>0.34262503982159925</v>
      </c>
      <c r="G21" s="11">
        <f>LTBL_13209[[#Totals],[法人／事業所数]]/LTBL_13209[[#Totals],[総数／事業所数]]</f>
        <v>0.65466709143039181</v>
      </c>
      <c r="I21" s="11">
        <f>LTBL_13209[[#Totals],[法人以外の団体／事業所数]]/LTBL_13209[[#Totals],[総数／事業所数]]</f>
        <v>1.5928639694170119E-3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669</v>
      </c>
      <c r="D24" s="8">
        <v>10.66</v>
      </c>
      <c r="E24" s="12">
        <v>136</v>
      </c>
      <c r="F24" s="8">
        <v>6.32</v>
      </c>
      <c r="G24" s="12">
        <v>532</v>
      </c>
      <c r="H24" s="8">
        <v>12.94</v>
      </c>
      <c r="I24" s="12">
        <v>1</v>
      </c>
    </row>
    <row r="25" spans="2:9" ht="15" customHeight="1" x14ac:dyDescent="0.2">
      <c r="B25" t="s">
        <v>104</v>
      </c>
      <c r="C25" s="12">
        <v>526</v>
      </c>
      <c r="D25" s="8">
        <v>8.3800000000000008</v>
      </c>
      <c r="E25" s="12">
        <v>392</v>
      </c>
      <c r="F25" s="8">
        <v>18.22</v>
      </c>
      <c r="G25" s="12">
        <v>134</v>
      </c>
      <c r="H25" s="8">
        <v>3.26</v>
      </c>
      <c r="I25" s="12">
        <v>0</v>
      </c>
    </row>
    <row r="26" spans="2:9" ht="15" customHeight="1" x14ac:dyDescent="0.2">
      <c r="B26" t="s">
        <v>103</v>
      </c>
      <c r="C26" s="12">
        <v>468</v>
      </c>
      <c r="D26" s="8">
        <v>7.45</v>
      </c>
      <c r="E26" s="12">
        <v>343</v>
      </c>
      <c r="F26" s="8">
        <v>15.95</v>
      </c>
      <c r="G26" s="12">
        <v>125</v>
      </c>
      <c r="H26" s="8">
        <v>3.04</v>
      </c>
      <c r="I26" s="12">
        <v>0</v>
      </c>
    </row>
    <row r="27" spans="2:9" ht="15" customHeight="1" x14ac:dyDescent="0.2">
      <c r="B27" t="s">
        <v>88</v>
      </c>
      <c r="C27" s="12">
        <v>369</v>
      </c>
      <c r="D27" s="8">
        <v>5.88</v>
      </c>
      <c r="E27" s="12">
        <v>33</v>
      </c>
      <c r="F27" s="8">
        <v>1.53</v>
      </c>
      <c r="G27" s="12">
        <v>336</v>
      </c>
      <c r="H27" s="8">
        <v>8.18</v>
      </c>
      <c r="I27" s="12">
        <v>0</v>
      </c>
    </row>
    <row r="28" spans="2:9" ht="15" customHeight="1" x14ac:dyDescent="0.2">
      <c r="B28" t="s">
        <v>98</v>
      </c>
      <c r="C28" s="12">
        <v>361</v>
      </c>
      <c r="D28" s="8">
        <v>5.75</v>
      </c>
      <c r="E28" s="12">
        <v>134</v>
      </c>
      <c r="F28" s="8">
        <v>6.23</v>
      </c>
      <c r="G28" s="12">
        <v>227</v>
      </c>
      <c r="H28" s="8">
        <v>5.52</v>
      </c>
      <c r="I28" s="12">
        <v>0</v>
      </c>
    </row>
    <row r="29" spans="2:9" ht="15" customHeight="1" x14ac:dyDescent="0.2">
      <c r="B29" t="s">
        <v>89</v>
      </c>
      <c r="C29" s="12">
        <v>331</v>
      </c>
      <c r="D29" s="8">
        <v>5.27</v>
      </c>
      <c r="E29" s="12">
        <v>65</v>
      </c>
      <c r="F29" s="8">
        <v>3.02</v>
      </c>
      <c r="G29" s="12">
        <v>266</v>
      </c>
      <c r="H29" s="8">
        <v>6.47</v>
      </c>
      <c r="I29" s="12">
        <v>0</v>
      </c>
    </row>
    <row r="30" spans="2:9" ht="15" customHeight="1" x14ac:dyDescent="0.2">
      <c r="B30" t="s">
        <v>105</v>
      </c>
      <c r="C30" s="12">
        <v>328</v>
      </c>
      <c r="D30" s="8">
        <v>5.22</v>
      </c>
      <c r="E30" s="12">
        <v>205</v>
      </c>
      <c r="F30" s="8">
        <v>9.5299999999999994</v>
      </c>
      <c r="G30" s="12">
        <v>121</v>
      </c>
      <c r="H30" s="8">
        <v>2.94</v>
      </c>
      <c r="I30" s="12">
        <v>1</v>
      </c>
    </row>
    <row r="31" spans="2:9" ht="15" customHeight="1" x14ac:dyDescent="0.2">
      <c r="B31" t="s">
        <v>101</v>
      </c>
      <c r="C31" s="12">
        <v>318</v>
      </c>
      <c r="D31" s="8">
        <v>5.07</v>
      </c>
      <c r="E31" s="12">
        <v>140</v>
      </c>
      <c r="F31" s="8">
        <v>6.51</v>
      </c>
      <c r="G31" s="12">
        <v>177</v>
      </c>
      <c r="H31" s="8">
        <v>4.3099999999999996</v>
      </c>
      <c r="I31" s="12">
        <v>1</v>
      </c>
    </row>
    <row r="32" spans="2:9" ht="15" customHeight="1" x14ac:dyDescent="0.2">
      <c r="B32" t="s">
        <v>106</v>
      </c>
      <c r="C32" s="12">
        <v>275</v>
      </c>
      <c r="D32" s="8">
        <v>4.38</v>
      </c>
      <c r="E32" s="12">
        <v>219</v>
      </c>
      <c r="F32" s="8">
        <v>10.18</v>
      </c>
      <c r="G32" s="12">
        <v>56</v>
      </c>
      <c r="H32" s="8">
        <v>1.36</v>
      </c>
      <c r="I32" s="12">
        <v>0</v>
      </c>
    </row>
    <row r="33" spans="2:9" ht="15" customHeight="1" x14ac:dyDescent="0.2">
      <c r="B33" t="s">
        <v>90</v>
      </c>
      <c r="C33" s="12">
        <v>249</v>
      </c>
      <c r="D33" s="8">
        <v>3.97</v>
      </c>
      <c r="E33" s="12">
        <v>24</v>
      </c>
      <c r="F33" s="8">
        <v>1.1200000000000001</v>
      </c>
      <c r="G33" s="12">
        <v>224</v>
      </c>
      <c r="H33" s="8">
        <v>5.45</v>
      </c>
      <c r="I33" s="12">
        <v>1</v>
      </c>
    </row>
    <row r="34" spans="2:9" ht="15" customHeight="1" x14ac:dyDescent="0.2">
      <c r="B34" t="s">
        <v>102</v>
      </c>
      <c r="C34" s="12">
        <v>211</v>
      </c>
      <c r="D34" s="8">
        <v>3.36</v>
      </c>
      <c r="E34" s="12">
        <v>58</v>
      </c>
      <c r="F34" s="8">
        <v>2.7</v>
      </c>
      <c r="G34" s="12">
        <v>150</v>
      </c>
      <c r="H34" s="8">
        <v>3.65</v>
      </c>
      <c r="I34" s="12">
        <v>2</v>
      </c>
    </row>
    <row r="35" spans="2:9" ht="15" customHeight="1" x14ac:dyDescent="0.2">
      <c r="B35" t="s">
        <v>96</v>
      </c>
      <c r="C35" s="12">
        <v>183</v>
      </c>
      <c r="D35" s="8">
        <v>2.91</v>
      </c>
      <c r="E35" s="12">
        <v>87</v>
      </c>
      <c r="F35" s="8">
        <v>4.04</v>
      </c>
      <c r="G35" s="12">
        <v>95</v>
      </c>
      <c r="H35" s="8">
        <v>2.31</v>
      </c>
      <c r="I35" s="12">
        <v>1</v>
      </c>
    </row>
    <row r="36" spans="2:9" ht="15" customHeight="1" x14ac:dyDescent="0.2">
      <c r="B36" t="s">
        <v>95</v>
      </c>
      <c r="C36" s="12">
        <v>178</v>
      </c>
      <c r="D36" s="8">
        <v>2.84</v>
      </c>
      <c r="E36" s="12">
        <v>48</v>
      </c>
      <c r="F36" s="8">
        <v>2.23</v>
      </c>
      <c r="G36" s="12">
        <v>130</v>
      </c>
      <c r="H36" s="8">
        <v>3.16</v>
      </c>
      <c r="I36" s="12">
        <v>0</v>
      </c>
    </row>
    <row r="37" spans="2:9" ht="15" customHeight="1" x14ac:dyDescent="0.2">
      <c r="B37" t="s">
        <v>97</v>
      </c>
      <c r="C37" s="12">
        <v>154</v>
      </c>
      <c r="D37" s="8">
        <v>2.4500000000000002</v>
      </c>
      <c r="E37" s="12">
        <v>49</v>
      </c>
      <c r="F37" s="8">
        <v>2.2799999999999998</v>
      </c>
      <c r="G37" s="12">
        <v>105</v>
      </c>
      <c r="H37" s="8">
        <v>2.5499999999999998</v>
      </c>
      <c r="I37" s="12">
        <v>0</v>
      </c>
    </row>
    <row r="38" spans="2:9" ht="15" customHeight="1" x14ac:dyDescent="0.2">
      <c r="B38" t="s">
        <v>99</v>
      </c>
      <c r="C38" s="12">
        <v>143</v>
      </c>
      <c r="D38" s="8">
        <v>2.2799999999999998</v>
      </c>
      <c r="E38" s="12">
        <v>4</v>
      </c>
      <c r="F38" s="8">
        <v>0.19</v>
      </c>
      <c r="G38" s="12">
        <v>138</v>
      </c>
      <c r="H38" s="8">
        <v>3.36</v>
      </c>
      <c r="I38" s="12">
        <v>1</v>
      </c>
    </row>
    <row r="39" spans="2:9" ht="15" customHeight="1" x14ac:dyDescent="0.2">
      <c r="B39" t="s">
        <v>115</v>
      </c>
      <c r="C39" s="12">
        <v>128</v>
      </c>
      <c r="D39" s="8">
        <v>2.04</v>
      </c>
      <c r="E39" s="12">
        <v>42</v>
      </c>
      <c r="F39" s="8">
        <v>1.95</v>
      </c>
      <c r="G39" s="12">
        <v>85</v>
      </c>
      <c r="H39" s="8">
        <v>2.0699999999999998</v>
      </c>
      <c r="I39" s="12">
        <v>1</v>
      </c>
    </row>
    <row r="40" spans="2:9" ht="15" customHeight="1" x14ac:dyDescent="0.2">
      <c r="B40" t="s">
        <v>91</v>
      </c>
      <c r="C40" s="12">
        <v>115</v>
      </c>
      <c r="D40" s="8">
        <v>1.83</v>
      </c>
      <c r="E40" s="12">
        <v>2</v>
      </c>
      <c r="F40" s="8">
        <v>0.09</v>
      </c>
      <c r="G40" s="12">
        <v>113</v>
      </c>
      <c r="H40" s="8">
        <v>2.75</v>
      </c>
      <c r="I40" s="12">
        <v>0</v>
      </c>
    </row>
    <row r="41" spans="2:9" ht="15" customHeight="1" x14ac:dyDescent="0.2">
      <c r="B41" t="s">
        <v>93</v>
      </c>
      <c r="C41" s="12">
        <v>94</v>
      </c>
      <c r="D41" s="8">
        <v>1.5</v>
      </c>
      <c r="E41" s="12">
        <v>2</v>
      </c>
      <c r="F41" s="8">
        <v>0.09</v>
      </c>
      <c r="G41" s="12">
        <v>92</v>
      </c>
      <c r="H41" s="8">
        <v>2.2400000000000002</v>
      </c>
      <c r="I41" s="12">
        <v>0</v>
      </c>
    </row>
    <row r="42" spans="2:9" ht="15" customHeight="1" x14ac:dyDescent="0.2">
      <c r="B42" t="s">
        <v>132</v>
      </c>
      <c r="C42" s="12">
        <v>89</v>
      </c>
      <c r="D42" s="8">
        <v>1.42</v>
      </c>
      <c r="E42" s="12">
        <v>5</v>
      </c>
      <c r="F42" s="8">
        <v>0.23</v>
      </c>
      <c r="G42" s="12">
        <v>83</v>
      </c>
      <c r="H42" s="8">
        <v>2.02</v>
      </c>
      <c r="I42" s="12">
        <v>0</v>
      </c>
    </row>
    <row r="43" spans="2:9" ht="15" customHeight="1" x14ac:dyDescent="0.2">
      <c r="B43" t="s">
        <v>107</v>
      </c>
      <c r="C43" s="12">
        <v>87</v>
      </c>
      <c r="D43" s="8">
        <v>1.39</v>
      </c>
      <c r="E43" s="12">
        <v>4</v>
      </c>
      <c r="F43" s="8">
        <v>0.19</v>
      </c>
      <c r="G43" s="12">
        <v>83</v>
      </c>
      <c r="H43" s="8">
        <v>2.02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331</v>
      </c>
      <c r="D47" s="8">
        <v>5.27</v>
      </c>
      <c r="E47" s="12">
        <v>97</v>
      </c>
      <c r="F47" s="8">
        <v>4.51</v>
      </c>
      <c r="G47" s="12">
        <v>234</v>
      </c>
      <c r="H47" s="8">
        <v>5.69</v>
      </c>
      <c r="I47" s="12">
        <v>0</v>
      </c>
    </row>
    <row r="48" spans="2:9" ht="15" customHeight="1" x14ac:dyDescent="0.2">
      <c r="B48" t="s">
        <v>172</v>
      </c>
      <c r="C48" s="12">
        <v>250</v>
      </c>
      <c r="D48" s="8">
        <v>3.98</v>
      </c>
      <c r="E48" s="12">
        <v>194</v>
      </c>
      <c r="F48" s="8">
        <v>9.02</v>
      </c>
      <c r="G48" s="12">
        <v>56</v>
      </c>
      <c r="H48" s="8">
        <v>1.36</v>
      </c>
      <c r="I48" s="12">
        <v>0</v>
      </c>
    </row>
    <row r="49" spans="2:9" ht="15" customHeight="1" x14ac:dyDescent="0.2">
      <c r="B49" t="s">
        <v>173</v>
      </c>
      <c r="C49" s="12">
        <v>211</v>
      </c>
      <c r="D49" s="8">
        <v>3.36</v>
      </c>
      <c r="E49" s="12">
        <v>146</v>
      </c>
      <c r="F49" s="8">
        <v>6.79</v>
      </c>
      <c r="G49" s="12">
        <v>64</v>
      </c>
      <c r="H49" s="8">
        <v>1.56</v>
      </c>
      <c r="I49" s="12">
        <v>1</v>
      </c>
    </row>
    <row r="50" spans="2:9" ht="15" customHeight="1" x14ac:dyDescent="0.2">
      <c r="B50" t="s">
        <v>175</v>
      </c>
      <c r="C50" s="12">
        <v>185</v>
      </c>
      <c r="D50" s="8">
        <v>2.95</v>
      </c>
      <c r="E50" s="12">
        <v>150</v>
      </c>
      <c r="F50" s="8">
        <v>6.97</v>
      </c>
      <c r="G50" s="12">
        <v>35</v>
      </c>
      <c r="H50" s="8">
        <v>0.85</v>
      </c>
      <c r="I50" s="12">
        <v>0</v>
      </c>
    </row>
    <row r="51" spans="2:9" ht="15" customHeight="1" x14ac:dyDescent="0.2">
      <c r="B51" t="s">
        <v>163</v>
      </c>
      <c r="C51" s="12">
        <v>165</v>
      </c>
      <c r="D51" s="8">
        <v>2.63</v>
      </c>
      <c r="E51" s="12">
        <v>5</v>
      </c>
      <c r="F51" s="8">
        <v>0.23</v>
      </c>
      <c r="G51" s="12">
        <v>160</v>
      </c>
      <c r="H51" s="8">
        <v>3.89</v>
      </c>
      <c r="I51" s="12">
        <v>0</v>
      </c>
    </row>
    <row r="52" spans="2:9" ht="15" customHeight="1" x14ac:dyDescent="0.2">
      <c r="B52" t="s">
        <v>171</v>
      </c>
      <c r="C52" s="12">
        <v>140</v>
      </c>
      <c r="D52" s="8">
        <v>2.23</v>
      </c>
      <c r="E52" s="12">
        <v>126</v>
      </c>
      <c r="F52" s="8">
        <v>5.86</v>
      </c>
      <c r="G52" s="12">
        <v>14</v>
      </c>
      <c r="H52" s="8">
        <v>0.34</v>
      </c>
      <c r="I52" s="12">
        <v>0</v>
      </c>
    </row>
    <row r="53" spans="2:9" ht="15" customHeight="1" x14ac:dyDescent="0.2">
      <c r="B53" t="s">
        <v>168</v>
      </c>
      <c r="C53" s="12">
        <v>137</v>
      </c>
      <c r="D53" s="8">
        <v>2.1800000000000002</v>
      </c>
      <c r="E53" s="12">
        <v>92</v>
      </c>
      <c r="F53" s="8">
        <v>4.28</v>
      </c>
      <c r="G53" s="12">
        <v>45</v>
      </c>
      <c r="H53" s="8">
        <v>1.0900000000000001</v>
      </c>
      <c r="I53" s="12">
        <v>0</v>
      </c>
    </row>
    <row r="54" spans="2:9" ht="15" customHeight="1" x14ac:dyDescent="0.2">
      <c r="B54" t="s">
        <v>167</v>
      </c>
      <c r="C54" s="12">
        <v>135</v>
      </c>
      <c r="D54" s="8">
        <v>2.15</v>
      </c>
      <c r="E54" s="12">
        <v>27</v>
      </c>
      <c r="F54" s="8">
        <v>1.26</v>
      </c>
      <c r="G54" s="12">
        <v>105</v>
      </c>
      <c r="H54" s="8">
        <v>2.5499999999999998</v>
      </c>
      <c r="I54" s="12">
        <v>2</v>
      </c>
    </row>
    <row r="55" spans="2:9" ht="15" customHeight="1" x14ac:dyDescent="0.2">
      <c r="B55" t="s">
        <v>159</v>
      </c>
      <c r="C55" s="12">
        <v>134</v>
      </c>
      <c r="D55" s="8">
        <v>2.13</v>
      </c>
      <c r="E55" s="12">
        <v>57</v>
      </c>
      <c r="F55" s="8">
        <v>2.65</v>
      </c>
      <c r="G55" s="12">
        <v>77</v>
      </c>
      <c r="H55" s="8">
        <v>1.87</v>
      </c>
      <c r="I55" s="12">
        <v>0</v>
      </c>
    </row>
    <row r="56" spans="2:9" ht="15" customHeight="1" x14ac:dyDescent="0.2">
      <c r="B56" t="s">
        <v>161</v>
      </c>
      <c r="C56" s="12">
        <v>130</v>
      </c>
      <c r="D56" s="8">
        <v>2.0699999999999998</v>
      </c>
      <c r="E56" s="12">
        <v>10</v>
      </c>
      <c r="F56" s="8">
        <v>0.46</v>
      </c>
      <c r="G56" s="12">
        <v>120</v>
      </c>
      <c r="H56" s="8">
        <v>2.92</v>
      </c>
      <c r="I56" s="12">
        <v>0</v>
      </c>
    </row>
    <row r="57" spans="2:9" ht="15" customHeight="1" x14ac:dyDescent="0.2">
      <c r="B57" t="s">
        <v>200</v>
      </c>
      <c r="C57" s="12">
        <v>112</v>
      </c>
      <c r="D57" s="8">
        <v>1.78</v>
      </c>
      <c r="E57" s="12">
        <v>8</v>
      </c>
      <c r="F57" s="8">
        <v>0.37</v>
      </c>
      <c r="G57" s="12">
        <v>104</v>
      </c>
      <c r="H57" s="8">
        <v>2.5299999999999998</v>
      </c>
      <c r="I57" s="12">
        <v>0</v>
      </c>
    </row>
    <row r="58" spans="2:9" ht="15" customHeight="1" x14ac:dyDescent="0.2">
      <c r="B58" t="s">
        <v>169</v>
      </c>
      <c r="C58" s="12">
        <v>108</v>
      </c>
      <c r="D58" s="8">
        <v>1.72</v>
      </c>
      <c r="E58" s="12">
        <v>89</v>
      </c>
      <c r="F58" s="8">
        <v>4.1399999999999997</v>
      </c>
      <c r="G58" s="12">
        <v>19</v>
      </c>
      <c r="H58" s="8">
        <v>0.46</v>
      </c>
      <c r="I58" s="12">
        <v>0</v>
      </c>
    </row>
    <row r="59" spans="2:9" ht="15" customHeight="1" x14ac:dyDescent="0.2">
      <c r="B59" t="s">
        <v>160</v>
      </c>
      <c r="C59" s="12">
        <v>107</v>
      </c>
      <c r="D59" s="8">
        <v>1.7</v>
      </c>
      <c r="E59" s="12">
        <v>4</v>
      </c>
      <c r="F59" s="8">
        <v>0.19</v>
      </c>
      <c r="G59" s="12">
        <v>103</v>
      </c>
      <c r="H59" s="8">
        <v>2.5099999999999998</v>
      </c>
      <c r="I59" s="12">
        <v>0</v>
      </c>
    </row>
    <row r="60" spans="2:9" ht="15" customHeight="1" x14ac:dyDescent="0.2">
      <c r="B60" t="s">
        <v>201</v>
      </c>
      <c r="C60" s="12">
        <v>106</v>
      </c>
      <c r="D60" s="8">
        <v>1.69</v>
      </c>
      <c r="E60" s="12">
        <v>9</v>
      </c>
      <c r="F60" s="8">
        <v>0.42</v>
      </c>
      <c r="G60" s="12">
        <v>97</v>
      </c>
      <c r="H60" s="8">
        <v>2.36</v>
      </c>
      <c r="I60" s="12">
        <v>0</v>
      </c>
    </row>
    <row r="61" spans="2:9" ht="15" customHeight="1" x14ac:dyDescent="0.2">
      <c r="B61" t="s">
        <v>157</v>
      </c>
      <c r="C61" s="12">
        <v>102</v>
      </c>
      <c r="D61" s="8">
        <v>1.62</v>
      </c>
      <c r="E61" s="12">
        <v>2</v>
      </c>
      <c r="F61" s="8">
        <v>0.09</v>
      </c>
      <c r="G61" s="12">
        <v>100</v>
      </c>
      <c r="H61" s="8">
        <v>2.4300000000000002</v>
      </c>
      <c r="I61" s="12">
        <v>0</v>
      </c>
    </row>
    <row r="62" spans="2:9" ht="15" customHeight="1" x14ac:dyDescent="0.2">
      <c r="B62" t="s">
        <v>220</v>
      </c>
      <c r="C62" s="12">
        <v>101</v>
      </c>
      <c r="D62" s="8">
        <v>1.61</v>
      </c>
      <c r="E62" s="12">
        <v>10</v>
      </c>
      <c r="F62" s="8">
        <v>0.46</v>
      </c>
      <c r="G62" s="12">
        <v>91</v>
      </c>
      <c r="H62" s="8">
        <v>2.21</v>
      </c>
      <c r="I62" s="12">
        <v>0</v>
      </c>
    </row>
    <row r="63" spans="2:9" ht="15" customHeight="1" x14ac:dyDescent="0.2">
      <c r="B63" t="s">
        <v>221</v>
      </c>
      <c r="C63" s="12">
        <v>100</v>
      </c>
      <c r="D63" s="8">
        <v>1.59</v>
      </c>
      <c r="E63" s="12">
        <v>23</v>
      </c>
      <c r="F63" s="8">
        <v>1.07</v>
      </c>
      <c r="G63" s="12">
        <v>77</v>
      </c>
      <c r="H63" s="8">
        <v>1.87</v>
      </c>
      <c r="I63" s="12">
        <v>0</v>
      </c>
    </row>
    <row r="64" spans="2:9" ht="15" customHeight="1" x14ac:dyDescent="0.2">
      <c r="B64" t="s">
        <v>225</v>
      </c>
      <c r="C64" s="12">
        <v>98</v>
      </c>
      <c r="D64" s="8">
        <v>1.56</v>
      </c>
      <c r="E64" s="12">
        <v>59</v>
      </c>
      <c r="F64" s="8">
        <v>2.74</v>
      </c>
      <c r="G64" s="12">
        <v>39</v>
      </c>
      <c r="H64" s="8">
        <v>0.95</v>
      </c>
      <c r="I64" s="12">
        <v>0</v>
      </c>
    </row>
    <row r="65" spans="2:9" ht="15" customHeight="1" x14ac:dyDescent="0.2">
      <c r="B65" t="s">
        <v>170</v>
      </c>
      <c r="C65" s="12">
        <v>96</v>
      </c>
      <c r="D65" s="8">
        <v>1.53</v>
      </c>
      <c r="E65" s="12">
        <v>80</v>
      </c>
      <c r="F65" s="8">
        <v>3.72</v>
      </c>
      <c r="G65" s="12">
        <v>16</v>
      </c>
      <c r="H65" s="8">
        <v>0.39</v>
      </c>
      <c r="I65" s="12">
        <v>0</v>
      </c>
    </row>
    <row r="66" spans="2:9" ht="15" customHeight="1" x14ac:dyDescent="0.2">
      <c r="B66" t="s">
        <v>192</v>
      </c>
      <c r="C66" s="12">
        <v>94</v>
      </c>
      <c r="D66" s="8">
        <v>1.5</v>
      </c>
      <c r="E66" s="12">
        <v>12</v>
      </c>
      <c r="F66" s="8">
        <v>0.56000000000000005</v>
      </c>
      <c r="G66" s="12">
        <v>82</v>
      </c>
      <c r="H66" s="8">
        <v>2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68B1-C851-4BCB-BC1F-56FBDBD02A27}">
  <sheetPr>
    <pageSetUpPr fitToPage="1"/>
  </sheetPr>
  <dimension ref="A1:I1467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155</v>
      </c>
      <c r="B1" s="3" t="s">
        <v>277</v>
      </c>
      <c r="C1" s="7" t="s">
        <v>81</v>
      </c>
      <c r="D1" s="7" t="s">
        <v>82</v>
      </c>
      <c r="E1" s="7" t="s">
        <v>83</v>
      </c>
      <c r="F1" s="7" t="s">
        <v>84</v>
      </c>
      <c r="G1" s="7" t="s">
        <v>85</v>
      </c>
      <c r="H1" s="7" t="s">
        <v>86</v>
      </c>
      <c r="I1" s="7" t="s">
        <v>87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162</v>
      </c>
      <c r="C3" s="4">
        <v>22178</v>
      </c>
      <c r="D3" s="8">
        <v>6.53</v>
      </c>
      <c r="E3" s="4">
        <v>8402</v>
      </c>
      <c r="F3" s="8">
        <v>7.27</v>
      </c>
      <c r="G3" s="4">
        <v>13770</v>
      </c>
      <c r="H3" s="8">
        <v>6.17</v>
      </c>
      <c r="I3" s="4">
        <v>4</v>
      </c>
    </row>
    <row r="4" spans="1:9" x14ac:dyDescent="0.2">
      <c r="A4" s="2">
        <v>2</v>
      </c>
      <c r="B4" s="1" t="s">
        <v>168</v>
      </c>
      <c r="C4" s="4">
        <v>11159</v>
      </c>
      <c r="D4" s="8">
        <v>3.29</v>
      </c>
      <c r="E4" s="4">
        <v>7071</v>
      </c>
      <c r="F4" s="8">
        <v>6.12</v>
      </c>
      <c r="G4" s="4">
        <v>4085</v>
      </c>
      <c r="H4" s="8">
        <v>1.83</v>
      </c>
      <c r="I4" s="4">
        <v>3</v>
      </c>
    </row>
    <row r="5" spans="1:9" x14ac:dyDescent="0.2">
      <c r="A5" s="2">
        <v>3</v>
      </c>
      <c r="B5" s="1" t="s">
        <v>172</v>
      </c>
      <c r="C5" s="4">
        <v>10368</v>
      </c>
      <c r="D5" s="8">
        <v>3.05</v>
      </c>
      <c r="E5" s="4">
        <v>7781</v>
      </c>
      <c r="F5" s="8">
        <v>6.74</v>
      </c>
      <c r="G5" s="4">
        <v>2587</v>
      </c>
      <c r="H5" s="8">
        <v>1.1599999999999999</v>
      </c>
      <c r="I5" s="4">
        <v>0</v>
      </c>
    </row>
    <row r="6" spans="1:9" x14ac:dyDescent="0.2">
      <c r="A6" s="2">
        <v>4</v>
      </c>
      <c r="B6" s="1" t="s">
        <v>169</v>
      </c>
      <c r="C6" s="4">
        <v>8744</v>
      </c>
      <c r="D6" s="8">
        <v>2.57</v>
      </c>
      <c r="E6" s="4">
        <v>6660</v>
      </c>
      <c r="F6" s="8">
        <v>5.77</v>
      </c>
      <c r="G6" s="4">
        <v>2083</v>
      </c>
      <c r="H6" s="8">
        <v>0.93</v>
      </c>
      <c r="I6" s="4">
        <v>1</v>
      </c>
    </row>
    <row r="7" spans="1:9" x14ac:dyDescent="0.2">
      <c r="A7" s="2">
        <v>5</v>
      </c>
      <c r="B7" s="1" t="s">
        <v>163</v>
      </c>
      <c r="C7" s="4">
        <v>8536</v>
      </c>
      <c r="D7" s="8">
        <v>2.5099999999999998</v>
      </c>
      <c r="E7" s="4">
        <v>286</v>
      </c>
      <c r="F7" s="8">
        <v>0.25</v>
      </c>
      <c r="G7" s="4">
        <v>8215</v>
      </c>
      <c r="H7" s="8">
        <v>3.68</v>
      </c>
      <c r="I7" s="4">
        <v>29</v>
      </c>
    </row>
    <row r="8" spans="1:9" x14ac:dyDescent="0.2">
      <c r="A8" s="2">
        <v>6</v>
      </c>
      <c r="B8" s="1" t="s">
        <v>161</v>
      </c>
      <c r="C8" s="4">
        <v>8157</v>
      </c>
      <c r="D8" s="8">
        <v>2.4</v>
      </c>
      <c r="E8" s="4">
        <v>1415</v>
      </c>
      <c r="F8" s="8">
        <v>1.23</v>
      </c>
      <c r="G8" s="4">
        <v>6739</v>
      </c>
      <c r="H8" s="8">
        <v>3.02</v>
      </c>
      <c r="I8" s="4">
        <v>2</v>
      </c>
    </row>
    <row r="9" spans="1:9" x14ac:dyDescent="0.2">
      <c r="A9" s="2">
        <v>7</v>
      </c>
      <c r="B9" s="1" t="s">
        <v>175</v>
      </c>
      <c r="C9" s="4">
        <v>7627</v>
      </c>
      <c r="D9" s="8">
        <v>2.25</v>
      </c>
      <c r="E9" s="4">
        <v>5888</v>
      </c>
      <c r="F9" s="8">
        <v>5.0999999999999996</v>
      </c>
      <c r="G9" s="4">
        <v>1738</v>
      </c>
      <c r="H9" s="8">
        <v>0.78</v>
      </c>
      <c r="I9" s="4">
        <v>1</v>
      </c>
    </row>
    <row r="10" spans="1:9" x14ac:dyDescent="0.2">
      <c r="A10" s="2">
        <v>8</v>
      </c>
      <c r="B10" s="1" t="s">
        <v>159</v>
      </c>
      <c r="C10" s="4">
        <v>6547</v>
      </c>
      <c r="D10" s="8">
        <v>1.93</v>
      </c>
      <c r="E10" s="4">
        <v>3258</v>
      </c>
      <c r="F10" s="8">
        <v>2.82</v>
      </c>
      <c r="G10" s="4">
        <v>3287</v>
      </c>
      <c r="H10" s="8">
        <v>1.47</v>
      </c>
      <c r="I10" s="4">
        <v>1</v>
      </c>
    </row>
    <row r="11" spans="1:9" x14ac:dyDescent="0.2">
      <c r="A11" s="2">
        <v>9</v>
      </c>
      <c r="B11" s="1" t="s">
        <v>173</v>
      </c>
      <c r="C11" s="4">
        <v>6484</v>
      </c>
      <c r="D11" s="8">
        <v>1.91</v>
      </c>
      <c r="E11" s="4">
        <v>4020</v>
      </c>
      <c r="F11" s="8">
        <v>3.48</v>
      </c>
      <c r="G11" s="4">
        <v>2438</v>
      </c>
      <c r="H11" s="8">
        <v>1.0900000000000001</v>
      </c>
      <c r="I11" s="4">
        <v>26</v>
      </c>
    </row>
    <row r="12" spans="1:9" x14ac:dyDescent="0.2">
      <c r="A12" s="2">
        <v>10</v>
      </c>
      <c r="B12" s="1" t="s">
        <v>160</v>
      </c>
      <c r="C12" s="4">
        <v>6336</v>
      </c>
      <c r="D12" s="8">
        <v>1.87</v>
      </c>
      <c r="E12" s="4">
        <v>439</v>
      </c>
      <c r="F12" s="8">
        <v>0.38</v>
      </c>
      <c r="G12" s="4">
        <v>5897</v>
      </c>
      <c r="H12" s="8">
        <v>2.64</v>
      </c>
      <c r="I12" s="4">
        <v>0</v>
      </c>
    </row>
    <row r="13" spans="1:9" x14ac:dyDescent="0.2">
      <c r="A13" s="2">
        <v>11</v>
      </c>
      <c r="B13" s="1" t="s">
        <v>170</v>
      </c>
      <c r="C13" s="4">
        <v>5813</v>
      </c>
      <c r="D13" s="8">
        <v>1.71</v>
      </c>
      <c r="E13" s="4">
        <v>4674</v>
      </c>
      <c r="F13" s="8">
        <v>4.05</v>
      </c>
      <c r="G13" s="4">
        <v>1137</v>
      </c>
      <c r="H13" s="8">
        <v>0.51</v>
      </c>
      <c r="I13" s="4">
        <v>2</v>
      </c>
    </row>
    <row r="14" spans="1:9" x14ac:dyDescent="0.2">
      <c r="A14" s="2">
        <v>12</v>
      </c>
      <c r="B14" s="1" t="s">
        <v>171</v>
      </c>
      <c r="C14" s="4">
        <v>5689</v>
      </c>
      <c r="D14" s="8">
        <v>1.67</v>
      </c>
      <c r="E14" s="4">
        <v>5070</v>
      </c>
      <c r="F14" s="8">
        <v>4.3899999999999997</v>
      </c>
      <c r="G14" s="4">
        <v>619</v>
      </c>
      <c r="H14" s="8">
        <v>0.28000000000000003</v>
      </c>
      <c r="I14" s="4">
        <v>0</v>
      </c>
    </row>
    <row r="15" spans="1:9" x14ac:dyDescent="0.2">
      <c r="A15" s="2">
        <v>13</v>
      </c>
      <c r="B15" s="1" t="s">
        <v>166</v>
      </c>
      <c r="C15" s="4">
        <v>5683</v>
      </c>
      <c r="D15" s="8">
        <v>1.67</v>
      </c>
      <c r="E15" s="4">
        <v>269</v>
      </c>
      <c r="F15" s="8">
        <v>0.23</v>
      </c>
      <c r="G15" s="4">
        <v>5395</v>
      </c>
      <c r="H15" s="8">
        <v>2.42</v>
      </c>
      <c r="I15" s="4">
        <v>19</v>
      </c>
    </row>
    <row r="16" spans="1:9" x14ac:dyDescent="0.2">
      <c r="A16" s="2">
        <v>14</v>
      </c>
      <c r="B16" s="1" t="s">
        <v>164</v>
      </c>
      <c r="C16" s="4">
        <v>4966</v>
      </c>
      <c r="D16" s="8">
        <v>1.46</v>
      </c>
      <c r="E16" s="4">
        <v>4646</v>
      </c>
      <c r="F16" s="8">
        <v>4.0199999999999996</v>
      </c>
      <c r="G16" s="4">
        <v>320</v>
      </c>
      <c r="H16" s="8">
        <v>0.14000000000000001</v>
      </c>
      <c r="I16" s="4">
        <v>0</v>
      </c>
    </row>
    <row r="17" spans="1:9" x14ac:dyDescent="0.2">
      <c r="A17" s="2">
        <v>15</v>
      </c>
      <c r="B17" s="1" t="s">
        <v>167</v>
      </c>
      <c r="C17" s="4">
        <v>4938</v>
      </c>
      <c r="D17" s="8">
        <v>1.45</v>
      </c>
      <c r="E17" s="4">
        <v>866</v>
      </c>
      <c r="F17" s="8">
        <v>0.75</v>
      </c>
      <c r="G17" s="4">
        <v>4028</v>
      </c>
      <c r="H17" s="8">
        <v>1.8</v>
      </c>
      <c r="I17" s="4">
        <v>7</v>
      </c>
    </row>
    <row r="18" spans="1:9" x14ac:dyDescent="0.2">
      <c r="A18" s="2">
        <v>16</v>
      </c>
      <c r="B18" s="1" t="s">
        <v>176</v>
      </c>
      <c r="C18" s="4">
        <v>4768</v>
      </c>
      <c r="D18" s="8">
        <v>1.4</v>
      </c>
      <c r="E18" s="4">
        <v>228</v>
      </c>
      <c r="F18" s="8">
        <v>0.2</v>
      </c>
      <c r="G18" s="4">
        <v>4456</v>
      </c>
      <c r="H18" s="8">
        <v>2</v>
      </c>
      <c r="I18" s="4">
        <v>78</v>
      </c>
    </row>
    <row r="19" spans="1:9" x14ac:dyDescent="0.2">
      <c r="A19" s="2">
        <v>17</v>
      </c>
      <c r="B19" s="1" t="s">
        <v>158</v>
      </c>
      <c r="C19" s="4">
        <v>4640</v>
      </c>
      <c r="D19" s="8">
        <v>1.37</v>
      </c>
      <c r="E19" s="4">
        <v>2306</v>
      </c>
      <c r="F19" s="8">
        <v>2</v>
      </c>
      <c r="G19" s="4">
        <v>2333</v>
      </c>
      <c r="H19" s="8">
        <v>1.04</v>
      </c>
      <c r="I19" s="4">
        <v>1</v>
      </c>
    </row>
    <row r="20" spans="1:9" x14ac:dyDescent="0.2">
      <c r="A20" s="2">
        <v>18</v>
      </c>
      <c r="B20" s="1" t="s">
        <v>157</v>
      </c>
      <c r="C20" s="4">
        <v>4604</v>
      </c>
      <c r="D20" s="8">
        <v>1.36</v>
      </c>
      <c r="E20" s="4">
        <v>62</v>
      </c>
      <c r="F20" s="8">
        <v>0.05</v>
      </c>
      <c r="G20" s="4">
        <v>4540</v>
      </c>
      <c r="H20" s="8">
        <v>2.0299999999999998</v>
      </c>
      <c r="I20" s="4">
        <v>2</v>
      </c>
    </row>
    <row r="21" spans="1:9" x14ac:dyDescent="0.2">
      <c r="A21" s="2">
        <v>19</v>
      </c>
      <c r="B21" s="1" t="s">
        <v>165</v>
      </c>
      <c r="C21" s="4">
        <v>4583</v>
      </c>
      <c r="D21" s="8">
        <v>1.35</v>
      </c>
      <c r="E21" s="4">
        <v>101</v>
      </c>
      <c r="F21" s="8">
        <v>0.09</v>
      </c>
      <c r="G21" s="4">
        <v>4477</v>
      </c>
      <c r="H21" s="8">
        <v>2.0099999999999998</v>
      </c>
      <c r="I21" s="4">
        <v>5</v>
      </c>
    </row>
    <row r="22" spans="1:9" x14ac:dyDescent="0.2">
      <c r="A22" s="2">
        <v>20</v>
      </c>
      <c r="B22" s="1" t="s">
        <v>174</v>
      </c>
      <c r="C22" s="4">
        <v>4427</v>
      </c>
      <c r="D22" s="8">
        <v>1.3</v>
      </c>
      <c r="E22" s="4">
        <v>3908</v>
      </c>
      <c r="F22" s="8">
        <v>3.38</v>
      </c>
      <c r="G22" s="4">
        <v>515</v>
      </c>
      <c r="H22" s="8">
        <v>0.23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162</v>
      </c>
      <c r="C25" s="4">
        <v>17652</v>
      </c>
      <c r="D25" s="8">
        <v>6.56</v>
      </c>
      <c r="E25" s="4">
        <v>6476</v>
      </c>
      <c r="F25" s="8">
        <v>7.44</v>
      </c>
      <c r="G25" s="4">
        <v>11172</v>
      </c>
      <c r="H25" s="8">
        <v>6.15</v>
      </c>
      <c r="I25" s="4">
        <v>4</v>
      </c>
    </row>
    <row r="26" spans="1:9" x14ac:dyDescent="0.2">
      <c r="A26" s="2">
        <v>2</v>
      </c>
      <c r="B26" s="1" t="s">
        <v>168</v>
      </c>
      <c r="C26" s="4">
        <v>9319</v>
      </c>
      <c r="D26" s="8">
        <v>3.46</v>
      </c>
      <c r="E26" s="4">
        <v>5697</v>
      </c>
      <c r="F26" s="8">
        <v>6.54</v>
      </c>
      <c r="G26" s="4">
        <v>3619</v>
      </c>
      <c r="H26" s="8">
        <v>1.99</v>
      </c>
      <c r="I26" s="4">
        <v>3</v>
      </c>
    </row>
    <row r="27" spans="1:9" x14ac:dyDescent="0.2">
      <c r="A27" s="2">
        <v>3</v>
      </c>
      <c r="B27" s="1" t="s">
        <v>172</v>
      </c>
      <c r="C27" s="4">
        <v>7440</v>
      </c>
      <c r="D27" s="8">
        <v>2.76</v>
      </c>
      <c r="E27" s="4">
        <v>5446</v>
      </c>
      <c r="F27" s="8">
        <v>6.25</v>
      </c>
      <c r="G27" s="4">
        <v>1994</v>
      </c>
      <c r="H27" s="8">
        <v>1.1000000000000001</v>
      </c>
      <c r="I27" s="4">
        <v>0</v>
      </c>
    </row>
    <row r="28" spans="1:9" x14ac:dyDescent="0.2">
      <c r="A28" s="2">
        <v>4</v>
      </c>
      <c r="B28" s="1" t="s">
        <v>169</v>
      </c>
      <c r="C28" s="4">
        <v>7008</v>
      </c>
      <c r="D28" s="8">
        <v>2.6</v>
      </c>
      <c r="E28" s="4">
        <v>5197</v>
      </c>
      <c r="F28" s="8">
        <v>5.97</v>
      </c>
      <c r="G28" s="4">
        <v>1811</v>
      </c>
      <c r="H28" s="8">
        <v>1</v>
      </c>
      <c r="I28" s="4">
        <v>0</v>
      </c>
    </row>
    <row r="29" spans="1:9" x14ac:dyDescent="0.2">
      <c r="A29" s="2">
        <v>5</v>
      </c>
      <c r="B29" s="1" t="s">
        <v>161</v>
      </c>
      <c r="C29" s="4">
        <v>6866</v>
      </c>
      <c r="D29" s="8">
        <v>2.5499999999999998</v>
      </c>
      <c r="E29" s="4">
        <v>1235</v>
      </c>
      <c r="F29" s="8">
        <v>1.42</v>
      </c>
      <c r="G29" s="4">
        <v>5629</v>
      </c>
      <c r="H29" s="8">
        <v>3.1</v>
      </c>
      <c r="I29" s="4">
        <v>1</v>
      </c>
    </row>
    <row r="30" spans="1:9" x14ac:dyDescent="0.2">
      <c r="A30" s="2">
        <v>6</v>
      </c>
      <c r="B30" s="1" t="s">
        <v>163</v>
      </c>
      <c r="C30" s="4">
        <v>6806</v>
      </c>
      <c r="D30" s="8">
        <v>2.5299999999999998</v>
      </c>
      <c r="E30" s="4">
        <v>234</v>
      </c>
      <c r="F30" s="8">
        <v>0.27</v>
      </c>
      <c r="G30" s="4">
        <v>6541</v>
      </c>
      <c r="H30" s="8">
        <v>3.6</v>
      </c>
      <c r="I30" s="4">
        <v>27</v>
      </c>
    </row>
    <row r="31" spans="1:9" x14ac:dyDescent="0.2">
      <c r="A31" s="2">
        <v>7</v>
      </c>
      <c r="B31" s="1" t="s">
        <v>175</v>
      </c>
      <c r="C31" s="4">
        <v>5633</v>
      </c>
      <c r="D31" s="8">
        <v>2.09</v>
      </c>
      <c r="E31" s="4">
        <v>4217</v>
      </c>
      <c r="F31" s="8">
        <v>4.84</v>
      </c>
      <c r="G31" s="4">
        <v>1415</v>
      </c>
      <c r="H31" s="8">
        <v>0.78</v>
      </c>
      <c r="I31" s="4">
        <v>1</v>
      </c>
    </row>
    <row r="32" spans="1:9" x14ac:dyDescent="0.2">
      <c r="A32" s="2">
        <v>8</v>
      </c>
      <c r="B32" s="1" t="s">
        <v>160</v>
      </c>
      <c r="C32" s="4">
        <v>5230</v>
      </c>
      <c r="D32" s="8">
        <v>1.94</v>
      </c>
      <c r="E32" s="4">
        <v>362</v>
      </c>
      <c r="F32" s="8">
        <v>0.42</v>
      </c>
      <c r="G32" s="4">
        <v>4868</v>
      </c>
      <c r="H32" s="8">
        <v>2.68</v>
      </c>
      <c r="I32" s="4">
        <v>0</v>
      </c>
    </row>
    <row r="33" spans="1:9" x14ac:dyDescent="0.2">
      <c r="A33" s="2">
        <v>9</v>
      </c>
      <c r="B33" s="1" t="s">
        <v>159</v>
      </c>
      <c r="C33" s="4">
        <v>5176</v>
      </c>
      <c r="D33" s="8">
        <v>1.92</v>
      </c>
      <c r="E33" s="4">
        <v>2540</v>
      </c>
      <c r="F33" s="8">
        <v>2.92</v>
      </c>
      <c r="G33" s="4">
        <v>2635</v>
      </c>
      <c r="H33" s="8">
        <v>1.45</v>
      </c>
      <c r="I33" s="4">
        <v>1</v>
      </c>
    </row>
    <row r="34" spans="1:9" x14ac:dyDescent="0.2">
      <c r="A34" s="2">
        <v>10</v>
      </c>
      <c r="B34" s="1" t="s">
        <v>166</v>
      </c>
      <c r="C34" s="4">
        <v>4881</v>
      </c>
      <c r="D34" s="8">
        <v>1.81</v>
      </c>
      <c r="E34" s="4">
        <v>212</v>
      </c>
      <c r="F34" s="8">
        <v>0.24</v>
      </c>
      <c r="G34" s="4">
        <v>4652</v>
      </c>
      <c r="H34" s="8">
        <v>2.56</v>
      </c>
      <c r="I34" s="4">
        <v>17</v>
      </c>
    </row>
    <row r="35" spans="1:9" x14ac:dyDescent="0.2">
      <c r="A35" s="2">
        <v>11</v>
      </c>
      <c r="B35" s="1" t="s">
        <v>170</v>
      </c>
      <c r="C35" s="4">
        <v>4598</v>
      </c>
      <c r="D35" s="8">
        <v>1.71</v>
      </c>
      <c r="E35" s="4">
        <v>3607</v>
      </c>
      <c r="F35" s="8">
        <v>4.1399999999999997</v>
      </c>
      <c r="G35" s="4">
        <v>990</v>
      </c>
      <c r="H35" s="8">
        <v>0.55000000000000004</v>
      </c>
      <c r="I35" s="4">
        <v>1</v>
      </c>
    </row>
    <row r="36" spans="1:9" x14ac:dyDescent="0.2">
      <c r="A36" s="2">
        <v>12</v>
      </c>
      <c r="B36" s="1" t="s">
        <v>173</v>
      </c>
      <c r="C36" s="4">
        <v>4477</v>
      </c>
      <c r="D36" s="8">
        <v>1.66</v>
      </c>
      <c r="E36" s="4">
        <v>2581</v>
      </c>
      <c r="F36" s="8">
        <v>2.96</v>
      </c>
      <c r="G36" s="4">
        <v>1874</v>
      </c>
      <c r="H36" s="8">
        <v>1.03</v>
      </c>
      <c r="I36" s="4">
        <v>22</v>
      </c>
    </row>
    <row r="37" spans="1:9" x14ac:dyDescent="0.2">
      <c r="A37" s="2">
        <v>13</v>
      </c>
      <c r="B37" s="1" t="s">
        <v>164</v>
      </c>
      <c r="C37" s="4">
        <v>4411</v>
      </c>
      <c r="D37" s="8">
        <v>1.64</v>
      </c>
      <c r="E37" s="4">
        <v>4120</v>
      </c>
      <c r="F37" s="8">
        <v>4.7300000000000004</v>
      </c>
      <c r="G37" s="4">
        <v>291</v>
      </c>
      <c r="H37" s="8">
        <v>0.16</v>
      </c>
      <c r="I37" s="4">
        <v>0</v>
      </c>
    </row>
    <row r="38" spans="1:9" x14ac:dyDescent="0.2">
      <c r="A38" s="2">
        <v>14</v>
      </c>
      <c r="B38" s="1" t="s">
        <v>176</v>
      </c>
      <c r="C38" s="4">
        <v>4171</v>
      </c>
      <c r="D38" s="8">
        <v>1.55</v>
      </c>
      <c r="E38" s="4">
        <v>194</v>
      </c>
      <c r="F38" s="8">
        <v>0.22</v>
      </c>
      <c r="G38" s="4">
        <v>3911</v>
      </c>
      <c r="H38" s="8">
        <v>2.15</v>
      </c>
      <c r="I38" s="4">
        <v>62</v>
      </c>
    </row>
    <row r="39" spans="1:9" x14ac:dyDescent="0.2">
      <c r="A39" s="2">
        <v>15</v>
      </c>
      <c r="B39" s="1" t="s">
        <v>165</v>
      </c>
      <c r="C39" s="4">
        <v>4027</v>
      </c>
      <c r="D39" s="8">
        <v>1.5</v>
      </c>
      <c r="E39" s="4">
        <v>82</v>
      </c>
      <c r="F39" s="8">
        <v>0.09</v>
      </c>
      <c r="G39" s="4">
        <v>3942</v>
      </c>
      <c r="H39" s="8">
        <v>2.17</v>
      </c>
      <c r="I39" s="4">
        <v>3</v>
      </c>
    </row>
    <row r="40" spans="1:9" x14ac:dyDescent="0.2">
      <c r="A40" s="2">
        <v>16</v>
      </c>
      <c r="B40" s="1" t="s">
        <v>171</v>
      </c>
      <c r="C40" s="4">
        <v>3971</v>
      </c>
      <c r="D40" s="8">
        <v>1.48</v>
      </c>
      <c r="E40" s="4">
        <v>3516</v>
      </c>
      <c r="F40" s="8">
        <v>4.04</v>
      </c>
      <c r="G40" s="4">
        <v>455</v>
      </c>
      <c r="H40" s="8">
        <v>0.25</v>
      </c>
      <c r="I40" s="4">
        <v>0</v>
      </c>
    </row>
    <row r="41" spans="1:9" x14ac:dyDescent="0.2">
      <c r="A41" s="2">
        <v>17</v>
      </c>
      <c r="B41" s="1" t="s">
        <v>167</v>
      </c>
      <c r="C41" s="4">
        <v>3842</v>
      </c>
      <c r="D41" s="8">
        <v>1.43</v>
      </c>
      <c r="E41" s="4">
        <v>610</v>
      </c>
      <c r="F41" s="8">
        <v>0.7</v>
      </c>
      <c r="G41" s="4">
        <v>3200</v>
      </c>
      <c r="H41" s="8">
        <v>1.76</v>
      </c>
      <c r="I41" s="4">
        <v>3</v>
      </c>
    </row>
    <row r="42" spans="1:9" x14ac:dyDescent="0.2">
      <c r="A42" s="2">
        <v>18</v>
      </c>
      <c r="B42" s="1" t="s">
        <v>157</v>
      </c>
      <c r="C42" s="4">
        <v>3814</v>
      </c>
      <c r="D42" s="8">
        <v>1.42</v>
      </c>
      <c r="E42" s="4">
        <v>40</v>
      </c>
      <c r="F42" s="8">
        <v>0.05</v>
      </c>
      <c r="G42" s="4">
        <v>3773</v>
      </c>
      <c r="H42" s="8">
        <v>2.08</v>
      </c>
      <c r="I42" s="4">
        <v>1</v>
      </c>
    </row>
    <row r="43" spans="1:9" x14ac:dyDescent="0.2">
      <c r="A43" s="2">
        <v>19</v>
      </c>
      <c r="B43" s="1" t="s">
        <v>177</v>
      </c>
      <c r="C43" s="4">
        <v>3604</v>
      </c>
      <c r="D43" s="8">
        <v>1.34</v>
      </c>
      <c r="E43" s="4">
        <v>236</v>
      </c>
      <c r="F43" s="8">
        <v>0.27</v>
      </c>
      <c r="G43" s="4">
        <v>3366</v>
      </c>
      <c r="H43" s="8">
        <v>1.85</v>
      </c>
      <c r="I43" s="4">
        <v>2</v>
      </c>
    </row>
    <row r="44" spans="1:9" x14ac:dyDescent="0.2">
      <c r="A44" s="2">
        <v>19</v>
      </c>
      <c r="B44" s="1" t="s">
        <v>158</v>
      </c>
      <c r="C44" s="4">
        <v>3604</v>
      </c>
      <c r="D44" s="8">
        <v>1.34</v>
      </c>
      <c r="E44" s="4">
        <v>1782</v>
      </c>
      <c r="F44" s="8">
        <v>2.0499999999999998</v>
      </c>
      <c r="G44" s="4">
        <v>1822</v>
      </c>
      <c r="H44" s="8">
        <v>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161</v>
      </c>
      <c r="C47" s="4">
        <v>687</v>
      </c>
      <c r="D47" s="8">
        <v>5.08</v>
      </c>
      <c r="E47" s="4">
        <v>151</v>
      </c>
      <c r="F47" s="8">
        <v>5.62</v>
      </c>
      <c r="G47" s="4">
        <v>536</v>
      </c>
      <c r="H47" s="8">
        <v>4.96</v>
      </c>
      <c r="I47" s="4">
        <v>0</v>
      </c>
    </row>
    <row r="48" spans="1:9" x14ac:dyDescent="0.2">
      <c r="A48" s="2">
        <v>2</v>
      </c>
      <c r="B48" s="1" t="s">
        <v>182</v>
      </c>
      <c r="C48" s="4">
        <v>681</v>
      </c>
      <c r="D48" s="8">
        <v>5.03</v>
      </c>
      <c r="E48" s="4">
        <v>638</v>
      </c>
      <c r="F48" s="8">
        <v>23.74</v>
      </c>
      <c r="G48" s="4">
        <v>43</v>
      </c>
      <c r="H48" s="8">
        <v>0.4</v>
      </c>
      <c r="I48" s="4">
        <v>0</v>
      </c>
    </row>
    <row r="49" spans="1:9" x14ac:dyDescent="0.2">
      <c r="A49" s="2">
        <v>3</v>
      </c>
      <c r="B49" s="1" t="s">
        <v>164</v>
      </c>
      <c r="C49" s="4">
        <v>596</v>
      </c>
      <c r="D49" s="8">
        <v>4.4000000000000004</v>
      </c>
      <c r="E49" s="4">
        <v>546</v>
      </c>
      <c r="F49" s="8">
        <v>20.32</v>
      </c>
      <c r="G49" s="4">
        <v>50</v>
      </c>
      <c r="H49" s="8">
        <v>0.46</v>
      </c>
      <c r="I49" s="4">
        <v>0</v>
      </c>
    </row>
    <row r="50" spans="1:9" x14ac:dyDescent="0.2">
      <c r="A50" s="2">
        <v>4</v>
      </c>
      <c r="B50" s="1" t="s">
        <v>165</v>
      </c>
      <c r="C50" s="4">
        <v>470</v>
      </c>
      <c r="D50" s="8">
        <v>3.47</v>
      </c>
      <c r="E50" s="4">
        <v>12</v>
      </c>
      <c r="F50" s="8">
        <v>0.45</v>
      </c>
      <c r="G50" s="4">
        <v>458</v>
      </c>
      <c r="H50" s="8">
        <v>4.24</v>
      </c>
      <c r="I50" s="4">
        <v>0</v>
      </c>
    </row>
    <row r="51" spans="1:9" x14ac:dyDescent="0.2">
      <c r="A51" s="2">
        <v>5</v>
      </c>
      <c r="B51" s="1" t="s">
        <v>166</v>
      </c>
      <c r="C51" s="4">
        <v>455</v>
      </c>
      <c r="D51" s="8">
        <v>3.36</v>
      </c>
      <c r="E51" s="4">
        <v>19</v>
      </c>
      <c r="F51" s="8">
        <v>0.71</v>
      </c>
      <c r="G51" s="4">
        <v>433</v>
      </c>
      <c r="H51" s="8">
        <v>4.01</v>
      </c>
      <c r="I51" s="4">
        <v>3</v>
      </c>
    </row>
    <row r="52" spans="1:9" x14ac:dyDescent="0.2">
      <c r="A52" s="2">
        <v>6</v>
      </c>
      <c r="B52" s="1" t="s">
        <v>157</v>
      </c>
      <c r="C52" s="4">
        <v>407</v>
      </c>
      <c r="D52" s="8">
        <v>3.01</v>
      </c>
      <c r="E52" s="4">
        <v>4</v>
      </c>
      <c r="F52" s="8">
        <v>0.15</v>
      </c>
      <c r="G52" s="4">
        <v>403</v>
      </c>
      <c r="H52" s="8">
        <v>3.73</v>
      </c>
      <c r="I52" s="4">
        <v>0</v>
      </c>
    </row>
    <row r="53" spans="1:9" x14ac:dyDescent="0.2">
      <c r="A53" s="2">
        <v>7</v>
      </c>
      <c r="B53" s="1" t="s">
        <v>162</v>
      </c>
      <c r="C53" s="4">
        <v>388</v>
      </c>
      <c r="D53" s="8">
        <v>2.87</v>
      </c>
      <c r="E53" s="4">
        <v>29</v>
      </c>
      <c r="F53" s="8">
        <v>1.08</v>
      </c>
      <c r="G53" s="4">
        <v>359</v>
      </c>
      <c r="H53" s="8">
        <v>3.32</v>
      </c>
      <c r="I53" s="4">
        <v>0</v>
      </c>
    </row>
    <row r="54" spans="1:9" x14ac:dyDescent="0.2">
      <c r="A54" s="2">
        <v>8</v>
      </c>
      <c r="B54" s="1" t="s">
        <v>176</v>
      </c>
      <c r="C54" s="4">
        <v>371</v>
      </c>
      <c r="D54" s="8">
        <v>2.74</v>
      </c>
      <c r="E54" s="4">
        <v>5</v>
      </c>
      <c r="F54" s="8">
        <v>0.19</v>
      </c>
      <c r="G54" s="4">
        <v>359</v>
      </c>
      <c r="H54" s="8">
        <v>3.32</v>
      </c>
      <c r="I54" s="4">
        <v>7</v>
      </c>
    </row>
    <row r="55" spans="1:9" x14ac:dyDescent="0.2">
      <c r="A55" s="2">
        <v>9</v>
      </c>
      <c r="B55" s="1" t="s">
        <v>168</v>
      </c>
      <c r="C55" s="4">
        <v>358</v>
      </c>
      <c r="D55" s="8">
        <v>2.65</v>
      </c>
      <c r="E55" s="4">
        <v>156</v>
      </c>
      <c r="F55" s="8">
        <v>5.81</v>
      </c>
      <c r="G55" s="4">
        <v>202</v>
      </c>
      <c r="H55" s="8">
        <v>1.87</v>
      </c>
      <c r="I55" s="4">
        <v>0</v>
      </c>
    </row>
    <row r="56" spans="1:9" x14ac:dyDescent="0.2">
      <c r="A56" s="2">
        <v>10</v>
      </c>
      <c r="B56" s="1" t="s">
        <v>163</v>
      </c>
      <c r="C56" s="4">
        <v>287</v>
      </c>
      <c r="D56" s="8">
        <v>2.12</v>
      </c>
      <c r="E56" s="4">
        <v>10</v>
      </c>
      <c r="F56" s="8">
        <v>0.37</v>
      </c>
      <c r="G56" s="4">
        <v>275</v>
      </c>
      <c r="H56" s="8">
        <v>2.5499999999999998</v>
      </c>
      <c r="I56" s="4">
        <v>2</v>
      </c>
    </row>
    <row r="57" spans="1:9" x14ac:dyDescent="0.2">
      <c r="A57" s="2">
        <v>11</v>
      </c>
      <c r="B57" s="1" t="s">
        <v>169</v>
      </c>
      <c r="C57" s="4">
        <v>253</v>
      </c>
      <c r="D57" s="8">
        <v>1.87</v>
      </c>
      <c r="E57" s="4">
        <v>115</v>
      </c>
      <c r="F57" s="8">
        <v>4.28</v>
      </c>
      <c r="G57" s="4">
        <v>138</v>
      </c>
      <c r="H57" s="8">
        <v>1.28</v>
      </c>
      <c r="I57" s="4">
        <v>0</v>
      </c>
    </row>
    <row r="58" spans="1:9" x14ac:dyDescent="0.2">
      <c r="A58" s="2">
        <v>12</v>
      </c>
      <c r="B58" s="1" t="s">
        <v>160</v>
      </c>
      <c r="C58" s="4">
        <v>248</v>
      </c>
      <c r="D58" s="8">
        <v>1.83</v>
      </c>
      <c r="E58" s="4">
        <v>4</v>
      </c>
      <c r="F58" s="8">
        <v>0.15</v>
      </c>
      <c r="G58" s="4">
        <v>244</v>
      </c>
      <c r="H58" s="8">
        <v>2.2599999999999998</v>
      </c>
      <c r="I58" s="4">
        <v>0</v>
      </c>
    </row>
    <row r="59" spans="1:9" x14ac:dyDescent="0.2">
      <c r="A59" s="2">
        <v>13</v>
      </c>
      <c r="B59" s="1" t="s">
        <v>179</v>
      </c>
      <c r="C59" s="4">
        <v>233</v>
      </c>
      <c r="D59" s="8">
        <v>1.72</v>
      </c>
      <c r="E59" s="4">
        <v>7</v>
      </c>
      <c r="F59" s="8">
        <v>0.26</v>
      </c>
      <c r="G59" s="4">
        <v>222</v>
      </c>
      <c r="H59" s="8">
        <v>2.06</v>
      </c>
      <c r="I59" s="4">
        <v>4</v>
      </c>
    </row>
    <row r="60" spans="1:9" x14ac:dyDescent="0.2">
      <c r="A60" s="2">
        <v>13</v>
      </c>
      <c r="B60" s="1" t="s">
        <v>167</v>
      </c>
      <c r="C60" s="4">
        <v>233</v>
      </c>
      <c r="D60" s="8">
        <v>1.72</v>
      </c>
      <c r="E60" s="4">
        <v>22</v>
      </c>
      <c r="F60" s="8">
        <v>0.82</v>
      </c>
      <c r="G60" s="4">
        <v>209</v>
      </c>
      <c r="H60" s="8">
        <v>1.94</v>
      </c>
      <c r="I60" s="4">
        <v>1</v>
      </c>
    </row>
    <row r="61" spans="1:9" x14ac:dyDescent="0.2">
      <c r="A61" s="2">
        <v>15</v>
      </c>
      <c r="B61" s="1" t="s">
        <v>177</v>
      </c>
      <c r="C61" s="4">
        <v>222</v>
      </c>
      <c r="D61" s="8">
        <v>1.64</v>
      </c>
      <c r="E61" s="4">
        <v>4</v>
      </c>
      <c r="F61" s="8">
        <v>0.15</v>
      </c>
      <c r="G61" s="4">
        <v>217</v>
      </c>
      <c r="H61" s="8">
        <v>2.0099999999999998</v>
      </c>
      <c r="I61" s="4">
        <v>1</v>
      </c>
    </row>
    <row r="62" spans="1:9" x14ac:dyDescent="0.2">
      <c r="A62" s="2">
        <v>16</v>
      </c>
      <c r="B62" s="1" t="s">
        <v>181</v>
      </c>
      <c r="C62" s="4">
        <v>202</v>
      </c>
      <c r="D62" s="8">
        <v>1.49</v>
      </c>
      <c r="E62" s="4">
        <v>3</v>
      </c>
      <c r="F62" s="8">
        <v>0.11</v>
      </c>
      <c r="G62" s="4">
        <v>198</v>
      </c>
      <c r="H62" s="8">
        <v>1.83</v>
      </c>
      <c r="I62" s="4">
        <v>1</v>
      </c>
    </row>
    <row r="63" spans="1:9" x14ac:dyDescent="0.2">
      <c r="A63" s="2">
        <v>17</v>
      </c>
      <c r="B63" s="1" t="s">
        <v>178</v>
      </c>
      <c r="C63" s="4">
        <v>198</v>
      </c>
      <c r="D63" s="8">
        <v>1.46</v>
      </c>
      <c r="E63" s="4">
        <v>6</v>
      </c>
      <c r="F63" s="8">
        <v>0.22</v>
      </c>
      <c r="G63" s="4">
        <v>192</v>
      </c>
      <c r="H63" s="8">
        <v>1.78</v>
      </c>
      <c r="I63" s="4">
        <v>0</v>
      </c>
    </row>
    <row r="64" spans="1:9" x14ac:dyDescent="0.2">
      <c r="A64" s="2">
        <v>18</v>
      </c>
      <c r="B64" s="1" t="s">
        <v>159</v>
      </c>
      <c r="C64" s="4">
        <v>187</v>
      </c>
      <c r="D64" s="8">
        <v>1.38</v>
      </c>
      <c r="E64" s="4">
        <v>36</v>
      </c>
      <c r="F64" s="8">
        <v>1.34</v>
      </c>
      <c r="G64" s="4">
        <v>151</v>
      </c>
      <c r="H64" s="8">
        <v>1.4</v>
      </c>
      <c r="I64" s="4">
        <v>0</v>
      </c>
    </row>
    <row r="65" spans="1:9" x14ac:dyDescent="0.2">
      <c r="A65" s="2">
        <v>19</v>
      </c>
      <c r="B65" s="1" t="s">
        <v>183</v>
      </c>
      <c r="C65" s="4">
        <v>151</v>
      </c>
      <c r="D65" s="8">
        <v>1.1200000000000001</v>
      </c>
      <c r="E65" s="4">
        <v>0</v>
      </c>
      <c r="F65" s="8">
        <v>0</v>
      </c>
      <c r="G65" s="4">
        <v>151</v>
      </c>
      <c r="H65" s="8">
        <v>1.4</v>
      </c>
      <c r="I65" s="4">
        <v>0</v>
      </c>
    </row>
    <row r="66" spans="1:9" x14ac:dyDescent="0.2">
      <c r="A66" s="2">
        <v>20</v>
      </c>
      <c r="B66" s="1" t="s">
        <v>180</v>
      </c>
      <c r="C66" s="4">
        <v>149</v>
      </c>
      <c r="D66" s="8">
        <v>1.1000000000000001</v>
      </c>
      <c r="E66" s="4">
        <v>1</v>
      </c>
      <c r="F66" s="8">
        <v>0.04</v>
      </c>
      <c r="G66" s="4">
        <v>148</v>
      </c>
      <c r="H66" s="8">
        <v>1.37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161</v>
      </c>
      <c r="C69" s="4">
        <v>618</v>
      </c>
      <c r="D69" s="8">
        <v>4.2300000000000004</v>
      </c>
      <c r="E69" s="4">
        <v>123</v>
      </c>
      <c r="F69" s="8">
        <v>3.84</v>
      </c>
      <c r="G69" s="4">
        <v>495</v>
      </c>
      <c r="H69" s="8">
        <v>4.34</v>
      </c>
      <c r="I69" s="4">
        <v>0</v>
      </c>
    </row>
    <row r="70" spans="1:9" x14ac:dyDescent="0.2">
      <c r="A70" s="2">
        <v>2</v>
      </c>
      <c r="B70" s="1" t="s">
        <v>168</v>
      </c>
      <c r="C70" s="4">
        <v>602</v>
      </c>
      <c r="D70" s="8">
        <v>4.12</v>
      </c>
      <c r="E70" s="4">
        <v>264</v>
      </c>
      <c r="F70" s="8">
        <v>8.24</v>
      </c>
      <c r="G70" s="4">
        <v>338</v>
      </c>
      <c r="H70" s="8">
        <v>2.97</v>
      </c>
      <c r="I70" s="4">
        <v>0</v>
      </c>
    </row>
    <row r="71" spans="1:9" x14ac:dyDescent="0.2">
      <c r="A71" s="2">
        <v>3</v>
      </c>
      <c r="B71" s="1" t="s">
        <v>164</v>
      </c>
      <c r="C71" s="4">
        <v>563</v>
      </c>
      <c r="D71" s="8">
        <v>3.85</v>
      </c>
      <c r="E71" s="4">
        <v>513</v>
      </c>
      <c r="F71" s="8">
        <v>16.02</v>
      </c>
      <c r="G71" s="4">
        <v>50</v>
      </c>
      <c r="H71" s="8">
        <v>0.44</v>
      </c>
      <c r="I71" s="4">
        <v>0</v>
      </c>
    </row>
    <row r="72" spans="1:9" x14ac:dyDescent="0.2">
      <c r="A72" s="2">
        <v>4</v>
      </c>
      <c r="B72" s="1" t="s">
        <v>170</v>
      </c>
      <c r="C72" s="4">
        <v>446</v>
      </c>
      <c r="D72" s="8">
        <v>3.05</v>
      </c>
      <c r="E72" s="4">
        <v>235</v>
      </c>
      <c r="F72" s="8">
        <v>7.34</v>
      </c>
      <c r="G72" s="4">
        <v>211</v>
      </c>
      <c r="H72" s="8">
        <v>1.85</v>
      </c>
      <c r="I72" s="4">
        <v>0</v>
      </c>
    </row>
    <row r="73" spans="1:9" x14ac:dyDescent="0.2">
      <c r="A73" s="2">
        <v>5</v>
      </c>
      <c r="B73" s="1" t="s">
        <v>182</v>
      </c>
      <c r="C73" s="4">
        <v>438</v>
      </c>
      <c r="D73" s="8">
        <v>2.99</v>
      </c>
      <c r="E73" s="4">
        <v>418</v>
      </c>
      <c r="F73" s="8">
        <v>13.05</v>
      </c>
      <c r="G73" s="4">
        <v>20</v>
      </c>
      <c r="H73" s="8">
        <v>0.18</v>
      </c>
      <c r="I73" s="4">
        <v>0</v>
      </c>
    </row>
    <row r="74" spans="1:9" x14ac:dyDescent="0.2">
      <c r="A74" s="2">
        <v>6</v>
      </c>
      <c r="B74" s="1" t="s">
        <v>166</v>
      </c>
      <c r="C74" s="4">
        <v>394</v>
      </c>
      <c r="D74" s="8">
        <v>2.69</v>
      </c>
      <c r="E74" s="4">
        <v>15</v>
      </c>
      <c r="F74" s="8">
        <v>0.47</v>
      </c>
      <c r="G74" s="4">
        <v>378</v>
      </c>
      <c r="H74" s="8">
        <v>3.32</v>
      </c>
      <c r="I74" s="4">
        <v>1</v>
      </c>
    </row>
    <row r="75" spans="1:9" x14ac:dyDescent="0.2">
      <c r="A75" s="2">
        <v>7</v>
      </c>
      <c r="B75" s="1" t="s">
        <v>162</v>
      </c>
      <c r="C75" s="4">
        <v>391</v>
      </c>
      <c r="D75" s="8">
        <v>2.67</v>
      </c>
      <c r="E75" s="4">
        <v>16</v>
      </c>
      <c r="F75" s="8">
        <v>0.5</v>
      </c>
      <c r="G75" s="4">
        <v>375</v>
      </c>
      <c r="H75" s="8">
        <v>3.29</v>
      </c>
      <c r="I75" s="4">
        <v>0</v>
      </c>
    </row>
    <row r="76" spans="1:9" x14ac:dyDescent="0.2">
      <c r="A76" s="2">
        <v>8</v>
      </c>
      <c r="B76" s="1" t="s">
        <v>165</v>
      </c>
      <c r="C76" s="4">
        <v>381</v>
      </c>
      <c r="D76" s="8">
        <v>2.61</v>
      </c>
      <c r="E76" s="4">
        <v>6</v>
      </c>
      <c r="F76" s="8">
        <v>0.19</v>
      </c>
      <c r="G76" s="4">
        <v>375</v>
      </c>
      <c r="H76" s="8">
        <v>3.29</v>
      </c>
      <c r="I76" s="4">
        <v>0</v>
      </c>
    </row>
    <row r="77" spans="1:9" x14ac:dyDescent="0.2">
      <c r="A77" s="2">
        <v>9</v>
      </c>
      <c r="B77" s="1" t="s">
        <v>176</v>
      </c>
      <c r="C77" s="4">
        <v>365</v>
      </c>
      <c r="D77" s="8">
        <v>2.5</v>
      </c>
      <c r="E77" s="4">
        <v>18</v>
      </c>
      <c r="F77" s="8">
        <v>0.56000000000000005</v>
      </c>
      <c r="G77" s="4">
        <v>342</v>
      </c>
      <c r="H77" s="8">
        <v>3</v>
      </c>
      <c r="I77" s="4">
        <v>4</v>
      </c>
    </row>
    <row r="78" spans="1:9" x14ac:dyDescent="0.2">
      <c r="A78" s="2">
        <v>10</v>
      </c>
      <c r="B78" s="1" t="s">
        <v>159</v>
      </c>
      <c r="C78" s="4">
        <v>353</v>
      </c>
      <c r="D78" s="8">
        <v>2.41</v>
      </c>
      <c r="E78" s="4">
        <v>110</v>
      </c>
      <c r="F78" s="8">
        <v>3.44</v>
      </c>
      <c r="G78" s="4">
        <v>243</v>
      </c>
      <c r="H78" s="8">
        <v>2.13</v>
      </c>
      <c r="I78" s="4">
        <v>0</v>
      </c>
    </row>
    <row r="79" spans="1:9" x14ac:dyDescent="0.2">
      <c r="A79" s="2">
        <v>11</v>
      </c>
      <c r="B79" s="1" t="s">
        <v>169</v>
      </c>
      <c r="C79" s="4">
        <v>350</v>
      </c>
      <c r="D79" s="8">
        <v>2.39</v>
      </c>
      <c r="E79" s="4">
        <v>185</v>
      </c>
      <c r="F79" s="8">
        <v>5.78</v>
      </c>
      <c r="G79" s="4">
        <v>165</v>
      </c>
      <c r="H79" s="8">
        <v>1.45</v>
      </c>
      <c r="I79" s="4">
        <v>0</v>
      </c>
    </row>
    <row r="80" spans="1:9" x14ac:dyDescent="0.2">
      <c r="A80" s="2">
        <v>12</v>
      </c>
      <c r="B80" s="1" t="s">
        <v>163</v>
      </c>
      <c r="C80" s="4">
        <v>288</v>
      </c>
      <c r="D80" s="8">
        <v>1.97</v>
      </c>
      <c r="E80" s="4">
        <v>5</v>
      </c>
      <c r="F80" s="8">
        <v>0.16</v>
      </c>
      <c r="G80" s="4">
        <v>282</v>
      </c>
      <c r="H80" s="8">
        <v>2.4700000000000002</v>
      </c>
      <c r="I80" s="4">
        <v>1</v>
      </c>
    </row>
    <row r="81" spans="1:9" x14ac:dyDescent="0.2">
      <c r="A81" s="2">
        <v>13</v>
      </c>
      <c r="B81" s="1" t="s">
        <v>157</v>
      </c>
      <c r="C81" s="4">
        <v>269</v>
      </c>
      <c r="D81" s="8">
        <v>1.84</v>
      </c>
      <c r="E81" s="4">
        <v>1</v>
      </c>
      <c r="F81" s="8">
        <v>0.03</v>
      </c>
      <c r="G81" s="4">
        <v>267</v>
      </c>
      <c r="H81" s="8">
        <v>2.34</v>
      </c>
      <c r="I81" s="4">
        <v>1</v>
      </c>
    </row>
    <row r="82" spans="1:9" x14ac:dyDescent="0.2">
      <c r="A82" s="2">
        <v>14</v>
      </c>
      <c r="B82" s="1" t="s">
        <v>160</v>
      </c>
      <c r="C82" s="4">
        <v>265</v>
      </c>
      <c r="D82" s="8">
        <v>1.81</v>
      </c>
      <c r="E82" s="4">
        <v>2</v>
      </c>
      <c r="F82" s="8">
        <v>0.06</v>
      </c>
      <c r="G82" s="4">
        <v>263</v>
      </c>
      <c r="H82" s="8">
        <v>2.31</v>
      </c>
      <c r="I82" s="4">
        <v>0</v>
      </c>
    </row>
    <row r="83" spans="1:9" x14ac:dyDescent="0.2">
      <c r="A83" s="2">
        <v>15</v>
      </c>
      <c r="B83" s="1" t="s">
        <v>177</v>
      </c>
      <c r="C83" s="4">
        <v>264</v>
      </c>
      <c r="D83" s="8">
        <v>1.81</v>
      </c>
      <c r="E83" s="4">
        <v>8</v>
      </c>
      <c r="F83" s="8">
        <v>0.25</v>
      </c>
      <c r="G83" s="4">
        <v>255</v>
      </c>
      <c r="H83" s="8">
        <v>2.2400000000000002</v>
      </c>
      <c r="I83" s="4">
        <v>1</v>
      </c>
    </row>
    <row r="84" spans="1:9" x14ac:dyDescent="0.2">
      <c r="A84" s="2">
        <v>16</v>
      </c>
      <c r="B84" s="1" t="s">
        <v>178</v>
      </c>
      <c r="C84" s="4">
        <v>246</v>
      </c>
      <c r="D84" s="8">
        <v>1.68</v>
      </c>
      <c r="E84" s="4">
        <v>15</v>
      </c>
      <c r="F84" s="8">
        <v>0.47</v>
      </c>
      <c r="G84" s="4">
        <v>231</v>
      </c>
      <c r="H84" s="8">
        <v>2.0299999999999998</v>
      </c>
      <c r="I84" s="4">
        <v>0</v>
      </c>
    </row>
    <row r="85" spans="1:9" x14ac:dyDescent="0.2">
      <c r="A85" s="2">
        <v>17</v>
      </c>
      <c r="B85" s="1" t="s">
        <v>186</v>
      </c>
      <c r="C85" s="4">
        <v>244</v>
      </c>
      <c r="D85" s="8">
        <v>1.67</v>
      </c>
      <c r="E85" s="4">
        <v>9</v>
      </c>
      <c r="F85" s="8">
        <v>0.28000000000000003</v>
      </c>
      <c r="G85" s="4">
        <v>235</v>
      </c>
      <c r="H85" s="8">
        <v>2.06</v>
      </c>
      <c r="I85" s="4">
        <v>0</v>
      </c>
    </row>
    <row r="86" spans="1:9" x14ac:dyDescent="0.2">
      <c r="A86" s="2">
        <v>18</v>
      </c>
      <c r="B86" s="1" t="s">
        <v>174</v>
      </c>
      <c r="C86" s="4">
        <v>205</v>
      </c>
      <c r="D86" s="8">
        <v>1.4</v>
      </c>
      <c r="E86" s="4">
        <v>160</v>
      </c>
      <c r="F86" s="8">
        <v>5</v>
      </c>
      <c r="G86" s="4">
        <v>45</v>
      </c>
      <c r="H86" s="8">
        <v>0.39</v>
      </c>
      <c r="I86" s="4">
        <v>0</v>
      </c>
    </row>
    <row r="87" spans="1:9" x14ac:dyDescent="0.2">
      <c r="A87" s="2">
        <v>19</v>
      </c>
      <c r="B87" s="1" t="s">
        <v>185</v>
      </c>
      <c r="C87" s="4">
        <v>197</v>
      </c>
      <c r="D87" s="8">
        <v>1.35</v>
      </c>
      <c r="E87" s="4">
        <v>3</v>
      </c>
      <c r="F87" s="8">
        <v>0.09</v>
      </c>
      <c r="G87" s="4">
        <v>194</v>
      </c>
      <c r="H87" s="8">
        <v>1.7</v>
      </c>
      <c r="I87" s="4">
        <v>0</v>
      </c>
    </row>
    <row r="88" spans="1:9" x14ac:dyDescent="0.2">
      <c r="A88" s="2">
        <v>20</v>
      </c>
      <c r="B88" s="1" t="s">
        <v>184</v>
      </c>
      <c r="C88" s="4">
        <v>185</v>
      </c>
      <c r="D88" s="8">
        <v>1.26</v>
      </c>
      <c r="E88" s="4">
        <v>11</v>
      </c>
      <c r="F88" s="8">
        <v>0.34</v>
      </c>
      <c r="G88" s="4">
        <v>174</v>
      </c>
      <c r="H88" s="8">
        <v>1.53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162</v>
      </c>
      <c r="C91" s="4">
        <v>786</v>
      </c>
      <c r="D91" s="8">
        <v>4.4800000000000004</v>
      </c>
      <c r="E91" s="4">
        <v>48</v>
      </c>
      <c r="F91" s="8">
        <v>1.48</v>
      </c>
      <c r="G91" s="4">
        <v>738</v>
      </c>
      <c r="H91" s="8">
        <v>5.18</v>
      </c>
      <c r="I91" s="4">
        <v>0</v>
      </c>
    </row>
    <row r="92" spans="1:9" x14ac:dyDescent="0.2">
      <c r="A92" s="2">
        <v>2</v>
      </c>
      <c r="B92" s="1" t="s">
        <v>161</v>
      </c>
      <c r="C92" s="4">
        <v>721</v>
      </c>
      <c r="D92" s="8">
        <v>4.1100000000000003</v>
      </c>
      <c r="E92" s="4">
        <v>75</v>
      </c>
      <c r="F92" s="8">
        <v>2.31</v>
      </c>
      <c r="G92" s="4">
        <v>646</v>
      </c>
      <c r="H92" s="8">
        <v>4.53</v>
      </c>
      <c r="I92" s="4">
        <v>0</v>
      </c>
    </row>
    <row r="93" spans="1:9" x14ac:dyDescent="0.2">
      <c r="A93" s="2">
        <v>3</v>
      </c>
      <c r="B93" s="1" t="s">
        <v>168</v>
      </c>
      <c r="C93" s="4">
        <v>714</v>
      </c>
      <c r="D93" s="8">
        <v>4.07</v>
      </c>
      <c r="E93" s="4">
        <v>271</v>
      </c>
      <c r="F93" s="8">
        <v>8.35</v>
      </c>
      <c r="G93" s="4">
        <v>443</v>
      </c>
      <c r="H93" s="8">
        <v>3.11</v>
      </c>
      <c r="I93" s="4">
        <v>0</v>
      </c>
    </row>
    <row r="94" spans="1:9" x14ac:dyDescent="0.2">
      <c r="A94" s="2">
        <v>4</v>
      </c>
      <c r="B94" s="1" t="s">
        <v>166</v>
      </c>
      <c r="C94" s="4">
        <v>680</v>
      </c>
      <c r="D94" s="8">
        <v>3.88</v>
      </c>
      <c r="E94" s="4">
        <v>20</v>
      </c>
      <c r="F94" s="8">
        <v>0.62</v>
      </c>
      <c r="G94" s="4">
        <v>654</v>
      </c>
      <c r="H94" s="8">
        <v>4.59</v>
      </c>
      <c r="I94" s="4">
        <v>6</v>
      </c>
    </row>
    <row r="95" spans="1:9" x14ac:dyDescent="0.2">
      <c r="A95" s="2">
        <v>5</v>
      </c>
      <c r="B95" s="1" t="s">
        <v>165</v>
      </c>
      <c r="C95" s="4">
        <v>661</v>
      </c>
      <c r="D95" s="8">
        <v>3.77</v>
      </c>
      <c r="E95" s="4">
        <v>10</v>
      </c>
      <c r="F95" s="8">
        <v>0.31</v>
      </c>
      <c r="G95" s="4">
        <v>651</v>
      </c>
      <c r="H95" s="8">
        <v>4.57</v>
      </c>
      <c r="I95" s="4">
        <v>0</v>
      </c>
    </row>
    <row r="96" spans="1:9" x14ac:dyDescent="0.2">
      <c r="A96" s="2">
        <v>6</v>
      </c>
      <c r="B96" s="1" t="s">
        <v>182</v>
      </c>
      <c r="C96" s="4">
        <v>637</v>
      </c>
      <c r="D96" s="8">
        <v>3.63</v>
      </c>
      <c r="E96" s="4">
        <v>596</v>
      </c>
      <c r="F96" s="8">
        <v>18.36</v>
      </c>
      <c r="G96" s="4">
        <v>41</v>
      </c>
      <c r="H96" s="8">
        <v>0.28999999999999998</v>
      </c>
      <c r="I96" s="4">
        <v>0</v>
      </c>
    </row>
    <row r="97" spans="1:9" x14ac:dyDescent="0.2">
      <c r="A97" s="2">
        <v>7</v>
      </c>
      <c r="B97" s="1" t="s">
        <v>176</v>
      </c>
      <c r="C97" s="4">
        <v>580</v>
      </c>
      <c r="D97" s="8">
        <v>3.31</v>
      </c>
      <c r="E97" s="4">
        <v>11</v>
      </c>
      <c r="F97" s="8">
        <v>0.34</v>
      </c>
      <c r="G97" s="4">
        <v>553</v>
      </c>
      <c r="H97" s="8">
        <v>3.88</v>
      </c>
      <c r="I97" s="4">
        <v>14</v>
      </c>
    </row>
    <row r="98" spans="1:9" x14ac:dyDescent="0.2">
      <c r="A98" s="2">
        <v>8</v>
      </c>
      <c r="B98" s="1" t="s">
        <v>160</v>
      </c>
      <c r="C98" s="4">
        <v>437</v>
      </c>
      <c r="D98" s="8">
        <v>2.4900000000000002</v>
      </c>
      <c r="E98" s="4">
        <v>5</v>
      </c>
      <c r="F98" s="8">
        <v>0.15</v>
      </c>
      <c r="G98" s="4">
        <v>432</v>
      </c>
      <c r="H98" s="8">
        <v>3.03</v>
      </c>
      <c r="I98" s="4">
        <v>0</v>
      </c>
    </row>
    <row r="99" spans="1:9" x14ac:dyDescent="0.2">
      <c r="A99" s="2">
        <v>9</v>
      </c>
      <c r="B99" s="1" t="s">
        <v>163</v>
      </c>
      <c r="C99" s="4">
        <v>431</v>
      </c>
      <c r="D99" s="8">
        <v>2.46</v>
      </c>
      <c r="E99" s="4">
        <v>8</v>
      </c>
      <c r="F99" s="8">
        <v>0.25</v>
      </c>
      <c r="G99" s="4">
        <v>422</v>
      </c>
      <c r="H99" s="8">
        <v>2.96</v>
      </c>
      <c r="I99" s="4">
        <v>1</v>
      </c>
    </row>
    <row r="100" spans="1:9" x14ac:dyDescent="0.2">
      <c r="A100" s="2">
        <v>10</v>
      </c>
      <c r="B100" s="1" t="s">
        <v>169</v>
      </c>
      <c r="C100" s="4">
        <v>404</v>
      </c>
      <c r="D100" s="8">
        <v>2.2999999999999998</v>
      </c>
      <c r="E100" s="4">
        <v>209</v>
      </c>
      <c r="F100" s="8">
        <v>6.44</v>
      </c>
      <c r="G100" s="4">
        <v>195</v>
      </c>
      <c r="H100" s="8">
        <v>1.37</v>
      </c>
      <c r="I100" s="4">
        <v>0</v>
      </c>
    </row>
    <row r="101" spans="1:9" x14ac:dyDescent="0.2">
      <c r="A101" s="2">
        <v>11</v>
      </c>
      <c r="B101" s="1" t="s">
        <v>157</v>
      </c>
      <c r="C101" s="4">
        <v>382</v>
      </c>
      <c r="D101" s="8">
        <v>2.1800000000000002</v>
      </c>
      <c r="E101" s="4">
        <v>0</v>
      </c>
      <c r="F101" s="8">
        <v>0</v>
      </c>
      <c r="G101" s="4">
        <v>382</v>
      </c>
      <c r="H101" s="8">
        <v>2.68</v>
      </c>
      <c r="I101" s="4">
        <v>0</v>
      </c>
    </row>
    <row r="102" spans="1:9" x14ac:dyDescent="0.2">
      <c r="A102" s="2">
        <v>12</v>
      </c>
      <c r="B102" s="1" t="s">
        <v>164</v>
      </c>
      <c r="C102" s="4">
        <v>359</v>
      </c>
      <c r="D102" s="8">
        <v>2.0499999999999998</v>
      </c>
      <c r="E102" s="4">
        <v>317</v>
      </c>
      <c r="F102" s="8">
        <v>9.76</v>
      </c>
      <c r="G102" s="4">
        <v>42</v>
      </c>
      <c r="H102" s="8">
        <v>0.28999999999999998</v>
      </c>
      <c r="I102" s="4">
        <v>0</v>
      </c>
    </row>
    <row r="103" spans="1:9" x14ac:dyDescent="0.2">
      <c r="A103" s="2">
        <v>13</v>
      </c>
      <c r="B103" s="1" t="s">
        <v>170</v>
      </c>
      <c r="C103" s="4">
        <v>346</v>
      </c>
      <c r="D103" s="8">
        <v>1.97</v>
      </c>
      <c r="E103" s="4">
        <v>208</v>
      </c>
      <c r="F103" s="8">
        <v>6.41</v>
      </c>
      <c r="G103" s="4">
        <v>138</v>
      </c>
      <c r="H103" s="8">
        <v>0.97</v>
      </c>
      <c r="I103" s="4">
        <v>0</v>
      </c>
    </row>
    <row r="104" spans="1:9" x14ac:dyDescent="0.2">
      <c r="A104" s="2">
        <v>14</v>
      </c>
      <c r="B104" s="1" t="s">
        <v>159</v>
      </c>
      <c r="C104" s="4">
        <v>281</v>
      </c>
      <c r="D104" s="8">
        <v>1.6</v>
      </c>
      <c r="E104" s="4">
        <v>78</v>
      </c>
      <c r="F104" s="8">
        <v>2.4</v>
      </c>
      <c r="G104" s="4">
        <v>203</v>
      </c>
      <c r="H104" s="8">
        <v>1.42</v>
      </c>
      <c r="I104" s="4">
        <v>0</v>
      </c>
    </row>
    <row r="105" spans="1:9" x14ac:dyDescent="0.2">
      <c r="A105" s="2">
        <v>15</v>
      </c>
      <c r="B105" s="1" t="s">
        <v>172</v>
      </c>
      <c r="C105" s="4">
        <v>266</v>
      </c>
      <c r="D105" s="8">
        <v>1.52</v>
      </c>
      <c r="E105" s="4">
        <v>136</v>
      </c>
      <c r="F105" s="8">
        <v>4.1900000000000004</v>
      </c>
      <c r="G105" s="4">
        <v>130</v>
      </c>
      <c r="H105" s="8">
        <v>0.91</v>
      </c>
      <c r="I105" s="4">
        <v>0</v>
      </c>
    </row>
    <row r="106" spans="1:9" x14ac:dyDescent="0.2">
      <c r="A106" s="2">
        <v>16</v>
      </c>
      <c r="B106" s="1" t="s">
        <v>167</v>
      </c>
      <c r="C106" s="4">
        <v>254</v>
      </c>
      <c r="D106" s="8">
        <v>1.45</v>
      </c>
      <c r="E106" s="4">
        <v>22</v>
      </c>
      <c r="F106" s="8">
        <v>0.68</v>
      </c>
      <c r="G106" s="4">
        <v>231</v>
      </c>
      <c r="H106" s="8">
        <v>1.62</v>
      </c>
      <c r="I106" s="4">
        <v>0</v>
      </c>
    </row>
    <row r="107" spans="1:9" x14ac:dyDescent="0.2">
      <c r="A107" s="2">
        <v>16</v>
      </c>
      <c r="B107" s="1" t="s">
        <v>174</v>
      </c>
      <c r="C107" s="4">
        <v>254</v>
      </c>
      <c r="D107" s="8">
        <v>1.45</v>
      </c>
      <c r="E107" s="4">
        <v>206</v>
      </c>
      <c r="F107" s="8">
        <v>6.34</v>
      </c>
      <c r="G107" s="4">
        <v>47</v>
      </c>
      <c r="H107" s="8">
        <v>0.33</v>
      </c>
      <c r="I107" s="4">
        <v>1</v>
      </c>
    </row>
    <row r="108" spans="1:9" x14ac:dyDescent="0.2">
      <c r="A108" s="2">
        <v>18</v>
      </c>
      <c r="B108" s="1" t="s">
        <v>187</v>
      </c>
      <c r="C108" s="4">
        <v>249</v>
      </c>
      <c r="D108" s="8">
        <v>1.42</v>
      </c>
      <c r="E108" s="4">
        <v>29</v>
      </c>
      <c r="F108" s="8">
        <v>0.89</v>
      </c>
      <c r="G108" s="4">
        <v>220</v>
      </c>
      <c r="H108" s="8">
        <v>1.54</v>
      </c>
      <c r="I108" s="4">
        <v>0</v>
      </c>
    </row>
    <row r="109" spans="1:9" x14ac:dyDescent="0.2">
      <c r="A109" s="2">
        <v>19</v>
      </c>
      <c r="B109" s="1" t="s">
        <v>183</v>
      </c>
      <c r="C109" s="4">
        <v>247</v>
      </c>
      <c r="D109" s="8">
        <v>1.41</v>
      </c>
      <c r="E109" s="4">
        <v>2</v>
      </c>
      <c r="F109" s="8">
        <v>0.06</v>
      </c>
      <c r="G109" s="4">
        <v>245</v>
      </c>
      <c r="H109" s="8">
        <v>1.72</v>
      </c>
      <c r="I109" s="4">
        <v>0</v>
      </c>
    </row>
    <row r="110" spans="1:9" x14ac:dyDescent="0.2">
      <c r="A110" s="2">
        <v>20</v>
      </c>
      <c r="B110" s="1" t="s">
        <v>175</v>
      </c>
      <c r="C110" s="4">
        <v>246</v>
      </c>
      <c r="D110" s="8">
        <v>1.4</v>
      </c>
      <c r="E110" s="4">
        <v>152</v>
      </c>
      <c r="F110" s="8">
        <v>4.68</v>
      </c>
      <c r="G110" s="4">
        <v>94</v>
      </c>
      <c r="H110" s="8">
        <v>0.66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162</v>
      </c>
      <c r="C113" s="4">
        <v>1007</v>
      </c>
      <c r="D113" s="8">
        <v>6.42</v>
      </c>
      <c r="E113" s="4">
        <v>353</v>
      </c>
      <c r="F113" s="8">
        <v>7.6</v>
      </c>
      <c r="G113" s="4">
        <v>654</v>
      </c>
      <c r="H113" s="8">
        <v>5.94</v>
      </c>
      <c r="I113" s="4">
        <v>0</v>
      </c>
    </row>
    <row r="114" spans="1:9" x14ac:dyDescent="0.2">
      <c r="A114" s="2">
        <v>2</v>
      </c>
      <c r="B114" s="1" t="s">
        <v>168</v>
      </c>
      <c r="C114" s="4">
        <v>716</v>
      </c>
      <c r="D114" s="8">
        <v>4.5599999999999996</v>
      </c>
      <c r="E114" s="4">
        <v>391</v>
      </c>
      <c r="F114" s="8">
        <v>8.41</v>
      </c>
      <c r="G114" s="4">
        <v>324</v>
      </c>
      <c r="H114" s="8">
        <v>2.94</v>
      </c>
      <c r="I114" s="4">
        <v>1</v>
      </c>
    </row>
    <row r="115" spans="1:9" x14ac:dyDescent="0.2">
      <c r="A115" s="2">
        <v>3</v>
      </c>
      <c r="B115" s="1" t="s">
        <v>170</v>
      </c>
      <c r="C115" s="4">
        <v>677</v>
      </c>
      <c r="D115" s="8">
        <v>4.32</v>
      </c>
      <c r="E115" s="4">
        <v>555</v>
      </c>
      <c r="F115" s="8">
        <v>11.94</v>
      </c>
      <c r="G115" s="4">
        <v>122</v>
      </c>
      <c r="H115" s="8">
        <v>1.1100000000000001</v>
      </c>
      <c r="I115" s="4">
        <v>0</v>
      </c>
    </row>
    <row r="116" spans="1:9" x14ac:dyDescent="0.2">
      <c r="A116" s="2">
        <v>4</v>
      </c>
      <c r="B116" s="1" t="s">
        <v>161</v>
      </c>
      <c r="C116" s="4">
        <v>560</v>
      </c>
      <c r="D116" s="8">
        <v>3.57</v>
      </c>
      <c r="E116" s="4">
        <v>117</v>
      </c>
      <c r="F116" s="8">
        <v>2.52</v>
      </c>
      <c r="G116" s="4">
        <v>443</v>
      </c>
      <c r="H116" s="8">
        <v>4.03</v>
      </c>
      <c r="I116" s="4">
        <v>0</v>
      </c>
    </row>
    <row r="117" spans="1:9" x14ac:dyDescent="0.2">
      <c r="A117" s="2">
        <v>5</v>
      </c>
      <c r="B117" s="1" t="s">
        <v>169</v>
      </c>
      <c r="C117" s="4">
        <v>474</v>
      </c>
      <c r="D117" s="8">
        <v>3.02</v>
      </c>
      <c r="E117" s="4">
        <v>268</v>
      </c>
      <c r="F117" s="8">
        <v>5.77</v>
      </c>
      <c r="G117" s="4">
        <v>206</v>
      </c>
      <c r="H117" s="8">
        <v>1.87</v>
      </c>
      <c r="I117" s="4">
        <v>0</v>
      </c>
    </row>
    <row r="118" spans="1:9" x14ac:dyDescent="0.2">
      <c r="A118" s="2">
        <v>6</v>
      </c>
      <c r="B118" s="1" t="s">
        <v>164</v>
      </c>
      <c r="C118" s="4">
        <v>459</v>
      </c>
      <c r="D118" s="8">
        <v>2.93</v>
      </c>
      <c r="E118" s="4">
        <v>421</v>
      </c>
      <c r="F118" s="8">
        <v>9.06</v>
      </c>
      <c r="G118" s="4">
        <v>38</v>
      </c>
      <c r="H118" s="8">
        <v>0.35</v>
      </c>
      <c r="I118" s="4">
        <v>0</v>
      </c>
    </row>
    <row r="119" spans="1:9" x14ac:dyDescent="0.2">
      <c r="A119" s="2">
        <v>7</v>
      </c>
      <c r="B119" s="1" t="s">
        <v>163</v>
      </c>
      <c r="C119" s="4">
        <v>450</v>
      </c>
      <c r="D119" s="8">
        <v>2.87</v>
      </c>
      <c r="E119" s="4">
        <v>22</v>
      </c>
      <c r="F119" s="8">
        <v>0.47</v>
      </c>
      <c r="G119" s="4">
        <v>425</v>
      </c>
      <c r="H119" s="8">
        <v>3.86</v>
      </c>
      <c r="I119" s="4">
        <v>3</v>
      </c>
    </row>
    <row r="120" spans="1:9" x14ac:dyDescent="0.2">
      <c r="A120" s="2">
        <v>8</v>
      </c>
      <c r="B120" s="1" t="s">
        <v>160</v>
      </c>
      <c r="C120" s="4">
        <v>441</v>
      </c>
      <c r="D120" s="8">
        <v>2.81</v>
      </c>
      <c r="E120" s="4">
        <v>15</v>
      </c>
      <c r="F120" s="8">
        <v>0.32</v>
      </c>
      <c r="G120" s="4">
        <v>426</v>
      </c>
      <c r="H120" s="8">
        <v>3.87</v>
      </c>
      <c r="I120" s="4">
        <v>0</v>
      </c>
    </row>
    <row r="121" spans="1:9" x14ac:dyDescent="0.2">
      <c r="A121" s="2">
        <v>9</v>
      </c>
      <c r="B121" s="1" t="s">
        <v>167</v>
      </c>
      <c r="C121" s="4">
        <v>358</v>
      </c>
      <c r="D121" s="8">
        <v>2.2799999999999998</v>
      </c>
      <c r="E121" s="4">
        <v>54</v>
      </c>
      <c r="F121" s="8">
        <v>1.1599999999999999</v>
      </c>
      <c r="G121" s="4">
        <v>303</v>
      </c>
      <c r="H121" s="8">
        <v>2.75</v>
      </c>
      <c r="I121" s="4">
        <v>0</v>
      </c>
    </row>
    <row r="122" spans="1:9" x14ac:dyDescent="0.2">
      <c r="A122" s="2">
        <v>10</v>
      </c>
      <c r="B122" s="1" t="s">
        <v>166</v>
      </c>
      <c r="C122" s="4">
        <v>355</v>
      </c>
      <c r="D122" s="8">
        <v>2.2599999999999998</v>
      </c>
      <c r="E122" s="4">
        <v>7</v>
      </c>
      <c r="F122" s="8">
        <v>0.15</v>
      </c>
      <c r="G122" s="4">
        <v>347</v>
      </c>
      <c r="H122" s="8">
        <v>3.15</v>
      </c>
      <c r="I122" s="4">
        <v>1</v>
      </c>
    </row>
    <row r="123" spans="1:9" x14ac:dyDescent="0.2">
      <c r="A123" s="2">
        <v>11</v>
      </c>
      <c r="B123" s="1" t="s">
        <v>182</v>
      </c>
      <c r="C123" s="4">
        <v>327</v>
      </c>
      <c r="D123" s="8">
        <v>2.08</v>
      </c>
      <c r="E123" s="4">
        <v>309</v>
      </c>
      <c r="F123" s="8">
        <v>6.65</v>
      </c>
      <c r="G123" s="4">
        <v>18</v>
      </c>
      <c r="H123" s="8">
        <v>0.16</v>
      </c>
      <c r="I123" s="4">
        <v>0</v>
      </c>
    </row>
    <row r="124" spans="1:9" x14ac:dyDescent="0.2">
      <c r="A124" s="2">
        <v>12</v>
      </c>
      <c r="B124" s="1" t="s">
        <v>157</v>
      </c>
      <c r="C124" s="4">
        <v>322</v>
      </c>
      <c r="D124" s="8">
        <v>2.0499999999999998</v>
      </c>
      <c r="E124" s="4">
        <v>6</v>
      </c>
      <c r="F124" s="8">
        <v>0.13</v>
      </c>
      <c r="G124" s="4">
        <v>316</v>
      </c>
      <c r="H124" s="8">
        <v>2.87</v>
      </c>
      <c r="I124" s="4">
        <v>0</v>
      </c>
    </row>
    <row r="125" spans="1:9" x14ac:dyDescent="0.2">
      <c r="A125" s="2">
        <v>13</v>
      </c>
      <c r="B125" s="1" t="s">
        <v>175</v>
      </c>
      <c r="C125" s="4">
        <v>302</v>
      </c>
      <c r="D125" s="8">
        <v>1.93</v>
      </c>
      <c r="E125" s="4">
        <v>221</v>
      </c>
      <c r="F125" s="8">
        <v>4.76</v>
      </c>
      <c r="G125" s="4">
        <v>81</v>
      </c>
      <c r="H125" s="8">
        <v>0.74</v>
      </c>
      <c r="I125" s="4">
        <v>0</v>
      </c>
    </row>
    <row r="126" spans="1:9" x14ac:dyDescent="0.2">
      <c r="A126" s="2">
        <v>14</v>
      </c>
      <c r="B126" s="1" t="s">
        <v>165</v>
      </c>
      <c r="C126" s="4">
        <v>276</v>
      </c>
      <c r="D126" s="8">
        <v>1.76</v>
      </c>
      <c r="E126" s="4">
        <v>2</v>
      </c>
      <c r="F126" s="8">
        <v>0.04</v>
      </c>
      <c r="G126" s="4">
        <v>274</v>
      </c>
      <c r="H126" s="8">
        <v>2.4900000000000002</v>
      </c>
      <c r="I126" s="4">
        <v>0</v>
      </c>
    </row>
    <row r="127" spans="1:9" x14ac:dyDescent="0.2">
      <c r="A127" s="2">
        <v>15</v>
      </c>
      <c r="B127" s="1" t="s">
        <v>176</v>
      </c>
      <c r="C127" s="4">
        <v>275</v>
      </c>
      <c r="D127" s="8">
        <v>1.75</v>
      </c>
      <c r="E127" s="4">
        <v>14</v>
      </c>
      <c r="F127" s="8">
        <v>0.3</v>
      </c>
      <c r="G127" s="4">
        <v>255</v>
      </c>
      <c r="H127" s="8">
        <v>2.3199999999999998</v>
      </c>
      <c r="I127" s="4">
        <v>6</v>
      </c>
    </row>
    <row r="128" spans="1:9" x14ac:dyDescent="0.2">
      <c r="A128" s="2">
        <v>16</v>
      </c>
      <c r="B128" s="1" t="s">
        <v>172</v>
      </c>
      <c r="C128" s="4">
        <v>273</v>
      </c>
      <c r="D128" s="8">
        <v>1.74</v>
      </c>
      <c r="E128" s="4">
        <v>181</v>
      </c>
      <c r="F128" s="8">
        <v>3.89</v>
      </c>
      <c r="G128" s="4">
        <v>92</v>
      </c>
      <c r="H128" s="8">
        <v>0.84</v>
      </c>
      <c r="I128" s="4">
        <v>0</v>
      </c>
    </row>
    <row r="129" spans="1:9" x14ac:dyDescent="0.2">
      <c r="A129" s="2">
        <v>17</v>
      </c>
      <c r="B129" s="1" t="s">
        <v>159</v>
      </c>
      <c r="C129" s="4">
        <v>244</v>
      </c>
      <c r="D129" s="8">
        <v>1.56</v>
      </c>
      <c r="E129" s="4">
        <v>97</v>
      </c>
      <c r="F129" s="8">
        <v>2.09</v>
      </c>
      <c r="G129" s="4">
        <v>147</v>
      </c>
      <c r="H129" s="8">
        <v>1.34</v>
      </c>
      <c r="I129" s="4">
        <v>0</v>
      </c>
    </row>
    <row r="130" spans="1:9" x14ac:dyDescent="0.2">
      <c r="A130" s="2">
        <v>18</v>
      </c>
      <c r="B130" s="1" t="s">
        <v>173</v>
      </c>
      <c r="C130" s="4">
        <v>239</v>
      </c>
      <c r="D130" s="8">
        <v>1.52</v>
      </c>
      <c r="E130" s="4">
        <v>121</v>
      </c>
      <c r="F130" s="8">
        <v>2.6</v>
      </c>
      <c r="G130" s="4">
        <v>117</v>
      </c>
      <c r="H130" s="8">
        <v>1.06</v>
      </c>
      <c r="I130" s="4">
        <v>1</v>
      </c>
    </row>
    <row r="131" spans="1:9" x14ac:dyDescent="0.2">
      <c r="A131" s="2">
        <v>19</v>
      </c>
      <c r="B131" s="1" t="s">
        <v>178</v>
      </c>
      <c r="C131" s="4">
        <v>226</v>
      </c>
      <c r="D131" s="8">
        <v>1.44</v>
      </c>
      <c r="E131" s="4">
        <v>14</v>
      </c>
      <c r="F131" s="8">
        <v>0.3</v>
      </c>
      <c r="G131" s="4">
        <v>212</v>
      </c>
      <c r="H131" s="8">
        <v>1.93</v>
      </c>
      <c r="I131" s="4">
        <v>0</v>
      </c>
    </row>
    <row r="132" spans="1:9" x14ac:dyDescent="0.2">
      <c r="A132" s="2">
        <v>20</v>
      </c>
      <c r="B132" s="1" t="s">
        <v>187</v>
      </c>
      <c r="C132" s="4">
        <v>198</v>
      </c>
      <c r="D132" s="8">
        <v>1.26</v>
      </c>
      <c r="E132" s="4">
        <v>26</v>
      </c>
      <c r="F132" s="8">
        <v>0.56000000000000005</v>
      </c>
      <c r="G132" s="4">
        <v>171</v>
      </c>
      <c r="H132" s="8">
        <v>1.55</v>
      </c>
      <c r="I132" s="4">
        <v>1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162</v>
      </c>
      <c r="C135" s="4">
        <v>729</v>
      </c>
      <c r="D135" s="8">
        <v>9.58</v>
      </c>
      <c r="E135" s="4">
        <v>290</v>
      </c>
      <c r="F135" s="8">
        <v>11.76</v>
      </c>
      <c r="G135" s="4">
        <v>439</v>
      </c>
      <c r="H135" s="8">
        <v>8.56</v>
      </c>
      <c r="I135" s="4">
        <v>0</v>
      </c>
    </row>
    <row r="136" spans="1:9" x14ac:dyDescent="0.2">
      <c r="A136" s="2">
        <v>2</v>
      </c>
      <c r="B136" s="1" t="s">
        <v>168</v>
      </c>
      <c r="C136" s="4">
        <v>267</v>
      </c>
      <c r="D136" s="8">
        <v>3.51</v>
      </c>
      <c r="E136" s="4">
        <v>159</v>
      </c>
      <c r="F136" s="8">
        <v>6.45</v>
      </c>
      <c r="G136" s="4">
        <v>108</v>
      </c>
      <c r="H136" s="8">
        <v>2.11</v>
      </c>
      <c r="I136" s="4">
        <v>0</v>
      </c>
    </row>
    <row r="137" spans="1:9" x14ac:dyDescent="0.2">
      <c r="A137" s="2">
        <v>3</v>
      </c>
      <c r="B137" s="1" t="s">
        <v>161</v>
      </c>
      <c r="C137" s="4">
        <v>264</v>
      </c>
      <c r="D137" s="8">
        <v>3.47</v>
      </c>
      <c r="E137" s="4">
        <v>84</v>
      </c>
      <c r="F137" s="8">
        <v>3.41</v>
      </c>
      <c r="G137" s="4">
        <v>180</v>
      </c>
      <c r="H137" s="8">
        <v>3.51</v>
      </c>
      <c r="I137" s="4">
        <v>0</v>
      </c>
    </row>
    <row r="138" spans="1:9" x14ac:dyDescent="0.2">
      <c r="A138" s="2">
        <v>4</v>
      </c>
      <c r="B138" s="1" t="s">
        <v>163</v>
      </c>
      <c r="C138" s="4">
        <v>226</v>
      </c>
      <c r="D138" s="8">
        <v>2.97</v>
      </c>
      <c r="E138" s="4">
        <v>14</v>
      </c>
      <c r="F138" s="8">
        <v>0.56999999999999995</v>
      </c>
      <c r="G138" s="4">
        <v>212</v>
      </c>
      <c r="H138" s="8">
        <v>4.13</v>
      </c>
      <c r="I138" s="4">
        <v>0</v>
      </c>
    </row>
    <row r="139" spans="1:9" x14ac:dyDescent="0.2">
      <c r="A139" s="2">
        <v>5</v>
      </c>
      <c r="B139" s="1" t="s">
        <v>178</v>
      </c>
      <c r="C139" s="4">
        <v>211</v>
      </c>
      <c r="D139" s="8">
        <v>2.77</v>
      </c>
      <c r="E139" s="4">
        <v>16</v>
      </c>
      <c r="F139" s="8">
        <v>0.65</v>
      </c>
      <c r="G139" s="4">
        <v>195</v>
      </c>
      <c r="H139" s="8">
        <v>3.8</v>
      </c>
      <c r="I139" s="4">
        <v>0</v>
      </c>
    </row>
    <row r="140" spans="1:9" x14ac:dyDescent="0.2">
      <c r="A140" s="2">
        <v>6</v>
      </c>
      <c r="B140" s="1" t="s">
        <v>166</v>
      </c>
      <c r="C140" s="4">
        <v>195</v>
      </c>
      <c r="D140" s="8">
        <v>2.56</v>
      </c>
      <c r="E140" s="4">
        <v>7</v>
      </c>
      <c r="F140" s="8">
        <v>0.28000000000000003</v>
      </c>
      <c r="G140" s="4">
        <v>188</v>
      </c>
      <c r="H140" s="8">
        <v>3.67</v>
      </c>
      <c r="I140" s="4">
        <v>0</v>
      </c>
    </row>
    <row r="141" spans="1:9" x14ac:dyDescent="0.2">
      <c r="A141" s="2">
        <v>7</v>
      </c>
      <c r="B141" s="1" t="s">
        <v>164</v>
      </c>
      <c r="C141" s="4">
        <v>159</v>
      </c>
      <c r="D141" s="8">
        <v>2.09</v>
      </c>
      <c r="E141" s="4">
        <v>152</v>
      </c>
      <c r="F141" s="8">
        <v>6.16</v>
      </c>
      <c r="G141" s="4">
        <v>7</v>
      </c>
      <c r="H141" s="8">
        <v>0.14000000000000001</v>
      </c>
      <c r="I141" s="4">
        <v>0</v>
      </c>
    </row>
    <row r="142" spans="1:9" x14ac:dyDescent="0.2">
      <c r="A142" s="2">
        <v>8</v>
      </c>
      <c r="B142" s="1" t="s">
        <v>169</v>
      </c>
      <c r="C142" s="4">
        <v>144</v>
      </c>
      <c r="D142" s="8">
        <v>1.89</v>
      </c>
      <c r="E142" s="4">
        <v>110</v>
      </c>
      <c r="F142" s="8">
        <v>4.46</v>
      </c>
      <c r="G142" s="4">
        <v>34</v>
      </c>
      <c r="H142" s="8">
        <v>0.66</v>
      </c>
      <c r="I142" s="4">
        <v>0</v>
      </c>
    </row>
    <row r="143" spans="1:9" x14ac:dyDescent="0.2">
      <c r="A143" s="2">
        <v>8</v>
      </c>
      <c r="B143" s="1" t="s">
        <v>173</v>
      </c>
      <c r="C143" s="4">
        <v>144</v>
      </c>
      <c r="D143" s="8">
        <v>1.89</v>
      </c>
      <c r="E143" s="4">
        <v>99</v>
      </c>
      <c r="F143" s="8">
        <v>4.01</v>
      </c>
      <c r="G143" s="4">
        <v>43</v>
      </c>
      <c r="H143" s="8">
        <v>0.84</v>
      </c>
      <c r="I143" s="4">
        <v>2</v>
      </c>
    </row>
    <row r="144" spans="1:9" x14ac:dyDescent="0.2">
      <c r="A144" s="2">
        <v>10</v>
      </c>
      <c r="B144" s="1" t="s">
        <v>165</v>
      </c>
      <c r="C144" s="4">
        <v>143</v>
      </c>
      <c r="D144" s="8">
        <v>1.88</v>
      </c>
      <c r="E144" s="4">
        <v>5</v>
      </c>
      <c r="F144" s="8">
        <v>0.2</v>
      </c>
      <c r="G144" s="4">
        <v>138</v>
      </c>
      <c r="H144" s="8">
        <v>2.69</v>
      </c>
      <c r="I144" s="4">
        <v>0</v>
      </c>
    </row>
    <row r="145" spans="1:9" x14ac:dyDescent="0.2">
      <c r="A145" s="2">
        <v>11</v>
      </c>
      <c r="B145" s="1" t="s">
        <v>159</v>
      </c>
      <c r="C145" s="4">
        <v>139</v>
      </c>
      <c r="D145" s="8">
        <v>1.83</v>
      </c>
      <c r="E145" s="4">
        <v>64</v>
      </c>
      <c r="F145" s="8">
        <v>2.6</v>
      </c>
      <c r="G145" s="4">
        <v>75</v>
      </c>
      <c r="H145" s="8">
        <v>1.46</v>
      </c>
      <c r="I145" s="4">
        <v>0</v>
      </c>
    </row>
    <row r="146" spans="1:9" x14ac:dyDescent="0.2">
      <c r="A146" s="2">
        <v>12</v>
      </c>
      <c r="B146" s="1" t="s">
        <v>167</v>
      </c>
      <c r="C146" s="4">
        <v>137</v>
      </c>
      <c r="D146" s="8">
        <v>1.8</v>
      </c>
      <c r="E146" s="4">
        <v>21</v>
      </c>
      <c r="F146" s="8">
        <v>0.85</v>
      </c>
      <c r="G146" s="4">
        <v>115</v>
      </c>
      <c r="H146" s="8">
        <v>2.2400000000000002</v>
      </c>
      <c r="I146" s="4">
        <v>0</v>
      </c>
    </row>
    <row r="147" spans="1:9" x14ac:dyDescent="0.2">
      <c r="A147" s="2">
        <v>13</v>
      </c>
      <c r="B147" s="1" t="s">
        <v>160</v>
      </c>
      <c r="C147" s="4">
        <v>133</v>
      </c>
      <c r="D147" s="8">
        <v>1.75</v>
      </c>
      <c r="E147" s="4">
        <v>14</v>
      </c>
      <c r="F147" s="8">
        <v>0.56999999999999995</v>
      </c>
      <c r="G147" s="4">
        <v>119</v>
      </c>
      <c r="H147" s="8">
        <v>2.3199999999999998</v>
      </c>
      <c r="I147" s="4">
        <v>0</v>
      </c>
    </row>
    <row r="148" spans="1:9" x14ac:dyDescent="0.2">
      <c r="A148" s="2">
        <v>14</v>
      </c>
      <c r="B148" s="1" t="s">
        <v>172</v>
      </c>
      <c r="C148" s="4">
        <v>132</v>
      </c>
      <c r="D148" s="8">
        <v>1.73</v>
      </c>
      <c r="E148" s="4">
        <v>100</v>
      </c>
      <c r="F148" s="8">
        <v>4.0599999999999996</v>
      </c>
      <c r="G148" s="4">
        <v>32</v>
      </c>
      <c r="H148" s="8">
        <v>0.62</v>
      </c>
      <c r="I148" s="4">
        <v>0</v>
      </c>
    </row>
    <row r="149" spans="1:9" x14ac:dyDescent="0.2">
      <c r="A149" s="2">
        <v>15</v>
      </c>
      <c r="B149" s="1" t="s">
        <v>175</v>
      </c>
      <c r="C149" s="4">
        <v>128</v>
      </c>
      <c r="D149" s="8">
        <v>1.68</v>
      </c>
      <c r="E149" s="4">
        <v>93</v>
      </c>
      <c r="F149" s="8">
        <v>3.77</v>
      </c>
      <c r="G149" s="4">
        <v>35</v>
      </c>
      <c r="H149" s="8">
        <v>0.68</v>
      </c>
      <c r="I149" s="4">
        <v>0</v>
      </c>
    </row>
    <row r="150" spans="1:9" x14ac:dyDescent="0.2">
      <c r="A150" s="2">
        <v>16</v>
      </c>
      <c r="B150" s="1" t="s">
        <v>170</v>
      </c>
      <c r="C150" s="4">
        <v>123</v>
      </c>
      <c r="D150" s="8">
        <v>1.62</v>
      </c>
      <c r="E150" s="4">
        <v>97</v>
      </c>
      <c r="F150" s="8">
        <v>3.93</v>
      </c>
      <c r="G150" s="4">
        <v>26</v>
      </c>
      <c r="H150" s="8">
        <v>0.51</v>
      </c>
      <c r="I150" s="4">
        <v>0</v>
      </c>
    </row>
    <row r="151" spans="1:9" x14ac:dyDescent="0.2">
      <c r="A151" s="2">
        <v>17</v>
      </c>
      <c r="B151" s="1" t="s">
        <v>179</v>
      </c>
      <c r="C151" s="4">
        <v>122</v>
      </c>
      <c r="D151" s="8">
        <v>1.6</v>
      </c>
      <c r="E151" s="4">
        <v>3</v>
      </c>
      <c r="F151" s="8">
        <v>0.12</v>
      </c>
      <c r="G151" s="4">
        <v>119</v>
      </c>
      <c r="H151" s="8">
        <v>2.3199999999999998</v>
      </c>
      <c r="I151" s="4">
        <v>0</v>
      </c>
    </row>
    <row r="152" spans="1:9" x14ac:dyDescent="0.2">
      <c r="A152" s="2">
        <v>18</v>
      </c>
      <c r="B152" s="1" t="s">
        <v>177</v>
      </c>
      <c r="C152" s="4">
        <v>120</v>
      </c>
      <c r="D152" s="8">
        <v>1.58</v>
      </c>
      <c r="E152" s="4">
        <v>12</v>
      </c>
      <c r="F152" s="8">
        <v>0.49</v>
      </c>
      <c r="G152" s="4">
        <v>108</v>
      </c>
      <c r="H152" s="8">
        <v>2.11</v>
      </c>
      <c r="I152" s="4">
        <v>0</v>
      </c>
    </row>
    <row r="153" spans="1:9" x14ac:dyDescent="0.2">
      <c r="A153" s="2">
        <v>19</v>
      </c>
      <c r="B153" s="1" t="s">
        <v>174</v>
      </c>
      <c r="C153" s="4">
        <v>119</v>
      </c>
      <c r="D153" s="8">
        <v>1.56</v>
      </c>
      <c r="E153" s="4">
        <v>109</v>
      </c>
      <c r="F153" s="8">
        <v>4.42</v>
      </c>
      <c r="G153" s="4">
        <v>10</v>
      </c>
      <c r="H153" s="8">
        <v>0.2</v>
      </c>
      <c r="I153" s="4">
        <v>0</v>
      </c>
    </row>
    <row r="154" spans="1:9" x14ac:dyDescent="0.2">
      <c r="A154" s="2">
        <v>20</v>
      </c>
      <c r="B154" s="1" t="s">
        <v>176</v>
      </c>
      <c r="C154" s="4">
        <v>117</v>
      </c>
      <c r="D154" s="8">
        <v>1.54</v>
      </c>
      <c r="E154" s="4">
        <v>6</v>
      </c>
      <c r="F154" s="8">
        <v>0.24</v>
      </c>
      <c r="G154" s="4">
        <v>104</v>
      </c>
      <c r="H154" s="8">
        <v>2.0299999999999998</v>
      </c>
      <c r="I154" s="4">
        <v>7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162</v>
      </c>
      <c r="C157" s="4">
        <v>667</v>
      </c>
      <c r="D157" s="8">
        <v>5.07</v>
      </c>
      <c r="E157" s="4">
        <v>241</v>
      </c>
      <c r="F157" s="8">
        <v>5.76</v>
      </c>
      <c r="G157" s="4">
        <v>426</v>
      </c>
      <c r="H157" s="8">
        <v>4.76</v>
      </c>
      <c r="I157" s="4">
        <v>0</v>
      </c>
    </row>
    <row r="158" spans="1:9" x14ac:dyDescent="0.2">
      <c r="A158" s="2">
        <v>2</v>
      </c>
      <c r="B158" s="1" t="s">
        <v>177</v>
      </c>
      <c r="C158" s="4">
        <v>663</v>
      </c>
      <c r="D158" s="8">
        <v>5.04</v>
      </c>
      <c r="E158" s="4">
        <v>39</v>
      </c>
      <c r="F158" s="8">
        <v>0.93</v>
      </c>
      <c r="G158" s="4">
        <v>624</v>
      </c>
      <c r="H158" s="8">
        <v>6.97</v>
      </c>
      <c r="I158" s="4">
        <v>0</v>
      </c>
    </row>
    <row r="159" spans="1:9" x14ac:dyDescent="0.2">
      <c r="A159" s="2">
        <v>3</v>
      </c>
      <c r="B159" s="1" t="s">
        <v>168</v>
      </c>
      <c r="C159" s="4">
        <v>527</v>
      </c>
      <c r="D159" s="8">
        <v>4.01</v>
      </c>
      <c r="E159" s="4">
        <v>332</v>
      </c>
      <c r="F159" s="8">
        <v>7.93</v>
      </c>
      <c r="G159" s="4">
        <v>195</v>
      </c>
      <c r="H159" s="8">
        <v>2.1800000000000002</v>
      </c>
      <c r="I159" s="4">
        <v>0</v>
      </c>
    </row>
    <row r="160" spans="1:9" x14ac:dyDescent="0.2">
      <c r="A160" s="2">
        <v>4</v>
      </c>
      <c r="B160" s="1" t="s">
        <v>161</v>
      </c>
      <c r="C160" s="4">
        <v>442</v>
      </c>
      <c r="D160" s="8">
        <v>3.36</v>
      </c>
      <c r="E160" s="4">
        <v>120</v>
      </c>
      <c r="F160" s="8">
        <v>2.87</v>
      </c>
      <c r="G160" s="4">
        <v>322</v>
      </c>
      <c r="H160" s="8">
        <v>3.6</v>
      </c>
      <c r="I160" s="4">
        <v>0</v>
      </c>
    </row>
    <row r="161" spans="1:9" x14ac:dyDescent="0.2">
      <c r="A161" s="2">
        <v>5</v>
      </c>
      <c r="B161" s="1" t="s">
        <v>159</v>
      </c>
      <c r="C161" s="4">
        <v>379</v>
      </c>
      <c r="D161" s="8">
        <v>2.88</v>
      </c>
      <c r="E161" s="4">
        <v>174</v>
      </c>
      <c r="F161" s="8">
        <v>4.16</v>
      </c>
      <c r="G161" s="4">
        <v>205</v>
      </c>
      <c r="H161" s="8">
        <v>2.29</v>
      </c>
      <c r="I161" s="4">
        <v>0</v>
      </c>
    </row>
    <row r="162" spans="1:9" x14ac:dyDescent="0.2">
      <c r="A162" s="2">
        <v>6</v>
      </c>
      <c r="B162" s="1" t="s">
        <v>169</v>
      </c>
      <c r="C162" s="4">
        <v>349</v>
      </c>
      <c r="D162" s="8">
        <v>2.65</v>
      </c>
      <c r="E162" s="4">
        <v>268</v>
      </c>
      <c r="F162" s="8">
        <v>6.4</v>
      </c>
      <c r="G162" s="4">
        <v>81</v>
      </c>
      <c r="H162" s="8">
        <v>0.9</v>
      </c>
      <c r="I162" s="4">
        <v>0</v>
      </c>
    </row>
    <row r="163" spans="1:9" x14ac:dyDescent="0.2">
      <c r="A163" s="2">
        <v>7</v>
      </c>
      <c r="B163" s="1" t="s">
        <v>189</v>
      </c>
      <c r="C163" s="4">
        <v>275</v>
      </c>
      <c r="D163" s="8">
        <v>2.09</v>
      </c>
      <c r="E163" s="4">
        <v>22</v>
      </c>
      <c r="F163" s="8">
        <v>0.53</v>
      </c>
      <c r="G163" s="4">
        <v>252</v>
      </c>
      <c r="H163" s="8">
        <v>2.81</v>
      </c>
      <c r="I163" s="4">
        <v>1</v>
      </c>
    </row>
    <row r="164" spans="1:9" x14ac:dyDescent="0.2">
      <c r="A164" s="2">
        <v>8</v>
      </c>
      <c r="B164" s="1" t="s">
        <v>178</v>
      </c>
      <c r="C164" s="4">
        <v>235</v>
      </c>
      <c r="D164" s="8">
        <v>1.79</v>
      </c>
      <c r="E164" s="4">
        <v>34</v>
      </c>
      <c r="F164" s="8">
        <v>0.81</v>
      </c>
      <c r="G164" s="4">
        <v>201</v>
      </c>
      <c r="H164" s="8">
        <v>2.25</v>
      </c>
      <c r="I164" s="4">
        <v>0</v>
      </c>
    </row>
    <row r="165" spans="1:9" x14ac:dyDescent="0.2">
      <c r="A165" s="2">
        <v>9</v>
      </c>
      <c r="B165" s="1" t="s">
        <v>170</v>
      </c>
      <c r="C165" s="4">
        <v>234</v>
      </c>
      <c r="D165" s="8">
        <v>1.78</v>
      </c>
      <c r="E165" s="4">
        <v>195</v>
      </c>
      <c r="F165" s="8">
        <v>4.66</v>
      </c>
      <c r="G165" s="4">
        <v>38</v>
      </c>
      <c r="H165" s="8">
        <v>0.42</v>
      </c>
      <c r="I165" s="4">
        <v>1</v>
      </c>
    </row>
    <row r="166" spans="1:9" x14ac:dyDescent="0.2">
      <c r="A166" s="2">
        <v>10</v>
      </c>
      <c r="B166" s="1" t="s">
        <v>164</v>
      </c>
      <c r="C166" s="4">
        <v>223</v>
      </c>
      <c r="D166" s="8">
        <v>1.69</v>
      </c>
      <c r="E166" s="4">
        <v>215</v>
      </c>
      <c r="F166" s="8">
        <v>5.14</v>
      </c>
      <c r="G166" s="4">
        <v>8</v>
      </c>
      <c r="H166" s="8">
        <v>0.09</v>
      </c>
      <c r="I166" s="4">
        <v>0</v>
      </c>
    </row>
    <row r="167" spans="1:9" x14ac:dyDescent="0.2">
      <c r="A167" s="2">
        <v>11</v>
      </c>
      <c r="B167" s="1" t="s">
        <v>190</v>
      </c>
      <c r="C167" s="4">
        <v>219</v>
      </c>
      <c r="D167" s="8">
        <v>1.66</v>
      </c>
      <c r="E167" s="4">
        <v>80</v>
      </c>
      <c r="F167" s="8">
        <v>1.91</v>
      </c>
      <c r="G167" s="4">
        <v>138</v>
      </c>
      <c r="H167" s="8">
        <v>1.54</v>
      </c>
      <c r="I167" s="4">
        <v>1</v>
      </c>
    </row>
    <row r="168" spans="1:9" x14ac:dyDescent="0.2">
      <c r="A168" s="2">
        <v>12</v>
      </c>
      <c r="B168" s="1" t="s">
        <v>163</v>
      </c>
      <c r="C168" s="4">
        <v>211</v>
      </c>
      <c r="D168" s="8">
        <v>1.6</v>
      </c>
      <c r="E168" s="4">
        <v>7</v>
      </c>
      <c r="F168" s="8">
        <v>0.17</v>
      </c>
      <c r="G168" s="4">
        <v>203</v>
      </c>
      <c r="H168" s="8">
        <v>2.27</v>
      </c>
      <c r="I168" s="4">
        <v>1</v>
      </c>
    </row>
    <row r="169" spans="1:9" x14ac:dyDescent="0.2">
      <c r="A169" s="2">
        <v>13</v>
      </c>
      <c r="B169" s="1" t="s">
        <v>157</v>
      </c>
      <c r="C169" s="4">
        <v>189</v>
      </c>
      <c r="D169" s="8">
        <v>1.44</v>
      </c>
      <c r="E169" s="4">
        <v>3</v>
      </c>
      <c r="F169" s="8">
        <v>7.0000000000000007E-2</v>
      </c>
      <c r="G169" s="4">
        <v>186</v>
      </c>
      <c r="H169" s="8">
        <v>2.08</v>
      </c>
      <c r="I169" s="4">
        <v>0</v>
      </c>
    </row>
    <row r="170" spans="1:9" x14ac:dyDescent="0.2">
      <c r="A170" s="2">
        <v>14</v>
      </c>
      <c r="B170" s="1" t="s">
        <v>158</v>
      </c>
      <c r="C170" s="4">
        <v>187</v>
      </c>
      <c r="D170" s="8">
        <v>1.42</v>
      </c>
      <c r="E170" s="4">
        <v>87</v>
      </c>
      <c r="F170" s="8">
        <v>2.08</v>
      </c>
      <c r="G170" s="4">
        <v>100</v>
      </c>
      <c r="H170" s="8">
        <v>1.1200000000000001</v>
      </c>
      <c r="I170" s="4">
        <v>0</v>
      </c>
    </row>
    <row r="171" spans="1:9" x14ac:dyDescent="0.2">
      <c r="A171" s="2">
        <v>15</v>
      </c>
      <c r="B171" s="1" t="s">
        <v>160</v>
      </c>
      <c r="C171" s="4">
        <v>185</v>
      </c>
      <c r="D171" s="8">
        <v>1.41</v>
      </c>
      <c r="E171" s="4">
        <v>19</v>
      </c>
      <c r="F171" s="8">
        <v>0.45</v>
      </c>
      <c r="G171" s="4">
        <v>166</v>
      </c>
      <c r="H171" s="8">
        <v>1.85</v>
      </c>
      <c r="I171" s="4">
        <v>0</v>
      </c>
    </row>
    <row r="172" spans="1:9" x14ac:dyDescent="0.2">
      <c r="A172" s="2">
        <v>16</v>
      </c>
      <c r="B172" s="1" t="s">
        <v>188</v>
      </c>
      <c r="C172" s="4">
        <v>184</v>
      </c>
      <c r="D172" s="8">
        <v>1.4</v>
      </c>
      <c r="E172" s="4">
        <v>55</v>
      </c>
      <c r="F172" s="8">
        <v>1.31</v>
      </c>
      <c r="G172" s="4">
        <v>129</v>
      </c>
      <c r="H172" s="8">
        <v>1.44</v>
      </c>
      <c r="I172" s="4">
        <v>0</v>
      </c>
    </row>
    <row r="173" spans="1:9" x14ac:dyDescent="0.2">
      <c r="A173" s="2">
        <v>17</v>
      </c>
      <c r="B173" s="1" t="s">
        <v>191</v>
      </c>
      <c r="C173" s="4">
        <v>181</v>
      </c>
      <c r="D173" s="8">
        <v>1.38</v>
      </c>
      <c r="E173" s="4">
        <v>132</v>
      </c>
      <c r="F173" s="8">
        <v>3.15</v>
      </c>
      <c r="G173" s="4">
        <v>49</v>
      </c>
      <c r="H173" s="8">
        <v>0.55000000000000004</v>
      </c>
      <c r="I173" s="4">
        <v>0</v>
      </c>
    </row>
    <row r="174" spans="1:9" x14ac:dyDescent="0.2">
      <c r="A174" s="2">
        <v>18</v>
      </c>
      <c r="B174" s="1" t="s">
        <v>175</v>
      </c>
      <c r="C174" s="4">
        <v>168</v>
      </c>
      <c r="D174" s="8">
        <v>1.28</v>
      </c>
      <c r="E174" s="4">
        <v>127</v>
      </c>
      <c r="F174" s="8">
        <v>3.03</v>
      </c>
      <c r="G174" s="4">
        <v>41</v>
      </c>
      <c r="H174" s="8">
        <v>0.46</v>
      </c>
      <c r="I174" s="4">
        <v>0</v>
      </c>
    </row>
    <row r="175" spans="1:9" x14ac:dyDescent="0.2">
      <c r="A175" s="2">
        <v>19</v>
      </c>
      <c r="B175" s="1" t="s">
        <v>172</v>
      </c>
      <c r="C175" s="4">
        <v>160</v>
      </c>
      <c r="D175" s="8">
        <v>1.22</v>
      </c>
      <c r="E175" s="4">
        <v>128</v>
      </c>
      <c r="F175" s="8">
        <v>3.06</v>
      </c>
      <c r="G175" s="4">
        <v>32</v>
      </c>
      <c r="H175" s="8">
        <v>0.36</v>
      </c>
      <c r="I175" s="4">
        <v>0</v>
      </c>
    </row>
    <row r="176" spans="1:9" x14ac:dyDescent="0.2">
      <c r="A176" s="2">
        <v>20</v>
      </c>
      <c r="B176" s="1" t="s">
        <v>176</v>
      </c>
      <c r="C176" s="4">
        <v>154</v>
      </c>
      <c r="D176" s="8">
        <v>1.17</v>
      </c>
      <c r="E176" s="4">
        <v>15</v>
      </c>
      <c r="F176" s="8">
        <v>0.36</v>
      </c>
      <c r="G176" s="4">
        <v>138</v>
      </c>
      <c r="H176" s="8">
        <v>1.54</v>
      </c>
      <c r="I176" s="4">
        <v>1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162</v>
      </c>
      <c r="C179" s="4">
        <v>474</v>
      </c>
      <c r="D179" s="8">
        <v>5.21</v>
      </c>
      <c r="E179" s="4">
        <v>164</v>
      </c>
      <c r="F179" s="8">
        <v>5.01</v>
      </c>
      <c r="G179" s="4">
        <v>308</v>
      </c>
      <c r="H179" s="8">
        <v>5.3</v>
      </c>
      <c r="I179" s="4">
        <v>2</v>
      </c>
    </row>
    <row r="180" spans="1:9" x14ac:dyDescent="0.2">
      <c r="A180" s="2">
        <v>2</v>
      </c>
      <c r="B180" s="1" t="s">
        <v>168</v>
      </c>
      <c r="C180" s="4">
        <v>294</v>
      </c>
      <c r="D180" s="8">
        <v>3.23</v>
      </c>
      <c r="E180" s="4">
        <v>203</v>
      </c>
      <c r="F180" s="8">
        <v>6.2</v>
      </c>
      <c r="G180" s="4">
        <v>91</v>
      </c>
      <c r="H180" s="8">
        <v>1.57</v>
      </c>
      <c r="I180" s="4">
        <v>0</v>
      </c>
    </row>
    <row r="181" spans="1:9" x14ac:dyDescent="0.2">
      <c r="A181" s="2">
        <v>3</v>
      </c>
      <c r="B181" s="1" t="s">
        <v>169</v>
      </c>
      <c r="C181" s="4">
        <v>257</v>
      </c>
      <c r="D181" s="8">
        <v>2.82</v>
      </c>
      <c r="E181" s="4">
        <v>209</v>
      </c>
      <c r="F181" s="8">
        <v>6.39</v>
      </c>
      <c r="G181" s="4">
        <v>48</v>
      </c>
      <c r="H181" s="8">
        <v>0.83</v>
      </c>
      <c r="I181" s="4">
        <v>0</v>
      </c>
    </row>
    <row r="182" spans="1:9" x14ac:dyDescent="0.2">
      <c r="A182" s="2">
        <v>4</v>
      </c>
      <c r="B182" s="1" t="s">
        <v>172</v>
      </c>
      <c r="C182" s="4">
        <v>198</v>
      </c>
      <c r="D182" s="8">
        <v>2.1800000000000002</v>
      </c>
      <c r="E182" s="4">
        <v>146</v>
      </c>
      <c r="F182" s="8">
        <v>4.46</v>
      </c>
      <c r="G182" s="4">
        <v>52</v>
      </c>
      <c r="H182" s="8">
        <v>0.89</v>
      </c>
      <c r="I182" s="4">
        <v>0</v>
      </c>
    </row>
    <row r="183" spans="1:9" x14ac:dyDescent="0.2">
      <c r="A183" s="2">
        <v>5</v>
      </c>
      <c r="B183" s="1" t="s">
        <v>178</v>
      </c>
      <c r="C183" s="4">
        <v>189</v>
      </c>
      <c r="D183" s="8">
        <v>2.08</v>
      </c>
      <c r="E183" s="4">
        <v>33</v>
      </c>
      <c r="F183" s="8">
        <v>1.01</v>
      </c>
      <c r="G183" s="4">
        <v>156</v>
      </c>
      <c r="H183" s="8">
        <v>2.68</v>
      </c>
      <c r="I183" s="4">
        <v>0</v>
      </c>
    </row>
    <row r="184" spans="1:9" x14ac:dyDescent="0.2">
      <c r="A184" s="2">
        <v>6</v>
      </c>
      <c r="B184" s="1" t="s">
        <v>177</v>
      </c>
      <c r="C184" s="4">
        <v>177</v>
      </c>
      <c r="D184" s="8">
        <v>1.95</v>
      </c>
      <c r="E184" s="4">
        <v>10</v>
      </c>
      <c r="F184" s="8">
        <v>0.31</v>
      </c>
      <c r="G184" s="4">
        <v>167</v>
      </c>
      <c r="H184" s="8">
        <v>2.87</v>
      </c>
      <c r="I184" s="4">
        <v>0</v>
      </c>
    </row>
    <row r="185" spans="1:9" x14ac:dyDescent="0.2">
      <c r="A185" s="2">
        <v>7</v>
      </c>
      <c r="B185" s="1" t="s">
        <v>175</v>
      </c>
      <c r="C185" s="4">
        <v>169</v>
      </c>
      <c r="D185" s="8">
        <v>1.86</v>
      </c>
      <c r="E185" s="4">
        <v>133</v>
      </c>
      <c r="F185" s="8">
        <v>4.0599999999999996</v>
      </c>
      <c r="G185" s="4">
        <v>36</v>
      </c>
      <c r="H185" s="8">
        <v>0.62</v>
      </c>
      <c r="I185" s="4">
        <v>0</v>
      </c>
    </row>
    <row r="186" spans="1:9" x14ac:dyDescent="0.2">
      <c r="A186" s="2">
        <v>8</v>
      </c>
      <c r="B186" s="1" t="s">
        <v>161</v>
      </c>
      <c r="C186" s="4">
        <v>156</v>
      </c>
      <c r="D186" s="8">
        <v>1.71</v>
      </c>
      <c r="E186" s="4">
        <v>46</v>
      </c>
      <c r="F186" s="8">
        <v>1.41</v>
      </c>
      <c r="G186" s="4">
        <v>110</v>
      </c>
      <c r="H186" s="8">
        <v>1.89</v>
      </c>
      <c r="I186" s="4">
        <v>0</v>
      </c>
    </row>
    <row r="187" spans="1:9" x14ac:dyDescent="0.2">
      <c r="A187" s="2">
        <v>9</v>
      </c>
      <c r="B187" s="1" t="s">
        <v>193</v>
      </c>
      <c r="C187" s="4">
        <v>153</v>
      </c>
      <c r="D187" s="8">
        <v>1.68</v>
      </c>
      <c r="E187" s="4">
        <v>51</v>
      </c>
      <c r="F187" s="8">
        <v>1.56</v>
      </c>
      <c r="G187" s="4">
        <v>102</v>
      </c>
      <c r="H187" s="8">
        <v>1.75</v>
      </c>
      <c r="I187" s="4">
        <v>0</v>
      </c>
    </row>
    <row r="188" spans="1:9" x14ac:dyDescent="0.2">
      <c r="A188" s="2">
        <v>10</v>
      </c>
      <c r="B188" s="1" t="s">
        <v>163</v>
      </c>
      <c r="C188" s="4">
        <v>152</v>
      </c>
      <c r="D188" s="8">
        <v>1.67</v>
      </c>
      <c r="E188" s="4">
        <v>8</v>
      </c>
      <c r="F188" s="8">
        <v>0.24</v>
      </c>
      <c r="G188" s="4">
        <v>143</v>
      </c>
      <c r="H188" s="8">
        <v>2.46</v>
      </c>
      <c r="I188" s="4">
        <v>1</v>
      </c>
    </row>
    <row r="189" spans="1:9" x14ac:dyDescent="0.2">
      <c r="A189" s="2">
        <v>11</v>
      </c>
      <c r="B189" s="1" t="s">
        <v>171</v>
      </c>
      <c r="C189" s="4">
        <v>139</v>
      </c>
      <c r="D189" s="8">
        <v>1.53</v>
      </c>
      <c r="E189" s="4">
        <v>131</v>
      </c>
      <c r="F189" s="8">
        <v>4</v>
      </c>
      <c r="G189" s="4">
        <v>8</v>
      </c>
      <c r="H189" s="8">
        <v>0.14000000000000001</v>
      </c>
      <c r="I189" s="4">
        <v>0</v>
      </c>
    </row>
    <row r="190" spans="1:9" x14ac:dyDescent="0.2">
      <c r="A190" s="2">
        <v>12</v>
      </c>
      <c r="B190" s="1" t="s">
        <v>159</v>
      </c>
      <c r="C190" s="4">
        <v>137</v>
      </c>
      <c r="D190" s="8">
        <v>1.51</v>
      </c>
      <c r="E190" s="4">
        <v>78</v>
      </c>
      <c r="F190" s="8">
        <v>2.38</v>
      </c>
      <c r="G190" s="4">
        <v>59</v>
      </c>
      <c r="H190" s="8">
        <v>1.01</v>
      </c>
      <c r="I190" s="4">
        <v>0</v>
      </c>
    </row>
    <row r="191" spans="1:9" x14ac:dyDescent="0.2">
      <c r="A191" s="2">
        <v>13</v>
      </c>
      <c r="B191" s="1" t="s">
        <v>170</v>
      </c>
      <c r="C191" s="4">
        <v>128</v>
      </c>
      <c r="D191" s="8">
        <v>1.41</v>
      </c>
      <c r="E191" s="4">
        <v>105</v>
      </c>
      <c r="F191" s="8">
        <v>3.21</v>
      </c>
      <c r="G191" s="4">
        <v>23</v>
      </c>
      <c r="H191" s="8">
        <v>0.4</v>
      </c>
      <c r="I191" s="4">
        <v>0</v>
      </c>
    </row>
    <row r="192" spans="1:9" x14ac:dyDescent="0.2">
      <c r="A192" s="2">
        <v>14</v>
      </c>
      <c r="B192" s="1" t="s">
        <v>160</v>
      </c>
      <c r="C192" s="4">
        <v>123</v>
      </c>
      <c r="D192" s="8">
        <v>1.35</v>
      </c>
      <c r="E192" s="4">
        <v>16</v>
      </c>
      <c r="F192" s="8">
        <v>0.49</v>
      </c>
      <c r="G192" s="4">
        <v>107</v>
      </c>
      <c r="H192" s="8">
        <v>1.84</v>
      </c>
      <c r="I192" s="4">
        <v>0</v>
      </c>
    </row>
    <row r="193" spans="1:9" x14ac:dyDescent="0.2">
      <c r="A193" s="2">
        <v>15</v>
      </c>
      <c r="B193" s="1" t="s">
        <v>158</v>
      </c>
      <c r="C193" s="4">
        <v>119</v>
      </c>
      <c r="D193" s="8">
        <v>1.31</v>
      </c>
      <c r="E193" s="4">
        <v>67</v>
      </c>
      <c r="F193" s="8">
        <v>2.0499999999999998</v>
      </c>
      <c r="G193" s="4">
        <v>52</v>
      </c>
      <c r="H193" s="8">
        <v>0.89</v>
      </c>
      <c r="I193" s="4">
        <v>0</v>
      </c>
    </row>
    <row r="194" spans="1:9" x14ac:dyDescent="0.2">
      <c r="A194" s="2">
        <v>16</v>
      </c>
      <c r="B194" s="1" t="s">
        <v>173</v>
      </c>
      <c r="C194" s="4">
        <v>116</v>
      </c>
      <c r="D194" s="8">
        <v>1.27</v>
      </c>
      <c r="E194" s="4">
        <v>67</v>
      </c>
      <c r="F194" s="8">
        <v>2.0499999999999998</v>
      </c>
      <c r="G194" s="4">
        <v>48</v>
      </c>
      <c r="H194" s="8">
        <v>0.83</v>
      </c>
      <c r="I194" s="4">
        <v>1</v>
      </c>
    </row>
    <row r="195" spans="1:9" x14ac:dyDescent="0.2">
      <c r="A195" s="2">
        <v>17</v>
      </c>
      <c r="B195" s="1" t="s">
        <v>191</v>
      </c>
      <c r="C195" s="4">
        <v>113</v>
      </c>
      <c r="D195" s="8">
        <v>1.24</v>
      </c>
      <c r="E195" s="4">
        <v>89</v>
      </c>
      <c r="F195" s="8">
        <v>2.72</v>
      </c>
      <c r="G195" s="4">
        <v>24</v>
      </c>
      <c r="H195" s="8">
        <v>0.41</v>
      </c>
      <c r="I195" s="4">
        <v>0</v>
      </c>
    </row>
    <row r="196" spans="1:9" x14ac:dyDescent="0.2">
      <c r="A196" s="2">
        <v>18</v>
      </c>
      <c r="B196" s="1" t="s">
        <v>192</v>
      </c>
      <c r="C196" s="4">
        <v>108</v>
      </c>
      <c r="D196" s="8">
        <v>1.19</v>
      </c>
      <c r="E196" s="4">
        <v>16</v>
      </c>
      <c r="F196" s="8">
        <v>0.49</v>
      </c>
      <c r="G196" s="4">
        <v>92</v>
      </c>
      <c r="H196" s="8">
        <v>1.58</v>
      </c>
      <c r="I196" s="4">
        <v>0</v>
      </c>
    </row>
    <row r="197" spans="1:9" x14ac:dyDescent="0.2">
      <c r="A197" s="2">
        <v>19</v>
      </c>
      <c r="B197" s="1" t="s">
        <v>174</v>
      </c>
      <c r="C197" s="4">
        <v>101</v>
      </c>
      <c r="D197" s="8">
        <v>1.1100000000000001</v>
      </c>
      <c r="E197" s="4">
        <v>95</v>
      </c>
      <c r="F197" s="8">
        <v>2.9</v>
      </c>
      <c r="G197" s="4">
        <v>5</v>
      </c>
      <c r="H197" s="8">
        <v>0.09</v>
      </c>
      <c r="I197" s="4">
        <v>1</v>
      </c>
    </row>
    <row r="198" spans="1:9" x14ac:dyDescent="0.2">
      <c r="A198" s="2">
        <v>20</v>
      </c>
      <c r="B198" s="1" t="s">
        <v>194</v>
      </c>
      <c r="C198" s="4">
        <v>100</v>
      </c>
      <c r="D198" s="8">
        <v>1.1000000000000001</v>
      </c>
      <c r="E198" s="4">
        <v>9</v>
      </c>
      <c r="F198" s="8">
        <v>0.27</v>
      </c>
      <c r="G198" s="4">
        <v>91</v>
      </c>
      <c r="H198" s="8">
        <v>1.57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162</v>
      </c>
      <c r="C201" s="4">
        <v>442</v>
      </c>
      <c r="D201" s="8">
        <v>4.55</v>
      </c>
      <c r="E201" s="4">
        <v>87</v>
      </c>
      <c r="F201" s="8">
        <v>3.04</v>
      </c>
      <c r="G201" s="4">
        <v>355</v>
      </c>
      <c r="H201" s="8">
        <v>5.2</v>
      </c>
      <c r="I201" s="4">
        <v>0</v>
      </c>
    </row>
    <row r="202" spans="1:9" x14ac:dyDescent="0.2">
      <c r="A202" s="2">
        <v>2</v>
      </c>
      <c r="B202" s="1" t="s">
        <v>168</v>
      </c>
      <c r="C202" s="4">
        <v>309</v>
      </c>
      <c r="D202" s="8">
        <v>3.18</v>
      </c>
      <c r="E202" s="4">
        <v>190</v>
      </c>
      <c r="F202" s="8">
        <v>6.65</v>
      </c>
      <c r="G202" s="4">
        <v>119</v>
      </c>
      <c r="H202" s="8">
        <v>1.74</v>
      </c>
      <c r="I202" s="4">
        <v>0</v>
      </c>
    </row>
    <row r="203" spans="1:9" x14ac:dyDescent="0.2">
      <c r="A203" s="2">
        <v>3</v>
      </c>
      <c r="B203" s="1" t="s">
        <v>169</v>
      </c>
      <c r="C203" s="4">
        <v>286</v>
      </c>
      <c r="D203" s="8">
        <v>2.95</v>
      </c>
      <c r="E203" s="4">
        <v>215</v>
      </c>
      <c r="F203" s="8">
        <v>7.52</v>
      </c>
      <c r="G203" s="4">
        <v>71</v>
      </c>
      <c r="H203" s="8">
        <v>1.04</v>
      </c>
      <c r="I203" s="4">
        <v>0</v>
      </c>
    </row>
    <row r="204" spans="1:9" x14ac:dyDescent="0.2">
      <c r="A204" s="2">
        <v>4</v>
      </c>
      <c r="B204" s="1" t="s">
        <v>178</v>
      </c>
      <c r="C204" s="4">
        <v>263</v>
      </c>
      <c r="D204" s="8">
        <v>2.71</v>
      </c>
      <c r="E204" s="4">
        <v>46</v>
      </c>
      <c r="F204" s="8">
        <v>1.61</v>
      </c>
      <c r="G204" s="4">
        <v>217</v>
      </c>
      <c r="H204" s="8">
        <v>3.18</v>
      </c>
      <c r="I204" s="4">
        <v>0</v>
      </c>
    </row>
    <row r="205" spans="1:9" x14ac:dyDescent="0.2">
      <c r="A205" s="2">
        <v>4</v>
      </c>
      <c r="B205" s="1" t="s">
        <v>172</v>
      </c>
      <c r="C205" s="4">
        <v>263</v>
      </c>
      <c r="D205" s="8">
        <v>2.71</v>
      </c>
      <c r="E205" s="4">
        <v>213</v>
      </c>
      <c r="F205" s="8">
        <v>7.45</v>
      </c>
      <c r="G205" s="4">
        <v>50</v>
      </c>
      <c r="H205" s="8">
        <v>0.73</v>
      </c>
      <c r="I205" s="4">
        <v>0</v>
      </c>
    </row>
    <row r="206" spans="1:9" x14ac:dyDescent="0.2">
      <c r="A206" s="2">
        <v>6</v>
      </c>
      <c r="B206" s="1" t="s">
        <v>175</v>
      </c>
      <c r="C206" s="4">
        <v>192</v>
      </c>
      <c r="D206" s="8">
        <v>1.98</v>
      </c>
      <c r="E206" s="4">
        <v>142</v>
      </c>
      <c r="F206" s="8">
        <v>4.97</v>
      </c>
      <c r="G206" s="4">
        <v>50</v>
      </c>
      <c r="H206" s="8">
        <v>0.73</v>
      </c>
      <c r="I206" s="4">
        <v>0</v>
      </c>
    </row>
    <row r="207" spans="1:9" x14ac:dyDescent="0.2">
      <c r="A207" s="2">
        <v>7</v>
      </c>
      <c r="B207" s="1" t="s">
        <v>171</v>
      </c>
      <c r="C207" s="4">
        <v>178</v>
      </c>
      <c r="D207" s="8">
        <v>1.83</v>
      </c>
      <c r="E207" s="4">
        <v>155</v>
      </c>
      <c r="F207" s="8">
        <v>5.42</v>
      </c>
      <c r="G207" s="4">
        <v>23</v>
      </c>
      <c r="H207" s="8">
        <v>0.34</v>
      </c>
      <c r="I207" s="4">
        <v>0</v>
      </c>
    </row>
    <row r="208" spans="1:9" x14ac:dyDescent="0.2">
      <c r="A208" s="2">
        <v>8</v>
      </c>
      <c r="B208" s="1" t="s">
        <v>185</v>
      </c>
      <c r="C208" s="4">
        <v>177</v>
      </c>
      <c r="D208" s="8">
        <v>1.82</v>
      </c>
      <c r="E208" s="4">
        <v>15</v>
      </c>
      <c r="F208" s="8">
        <v>0.52</v>
      </c>
      <c r="G208" s="4">
        <v>162</v>
      </c>
      <c r="H208" s="8">
        <v>2.37</v>
      </c>
      <c r="I208" s="4">
        <v>0</v>
      </c>
    </row>
    <row r="209" spans="1:9" x14ac:dyDescent="0.2">
      <c r="A209" s="2">
        <v>9</v>
      </c>
      <c r="B209" s="1" t="s">
        <v>163</v>
      </c>
      <c r="C209" s="4">
        <v>171</v>
      </c>
      <c r="D209" s="8">
        <v>1.76</v>
      </c>
      <c r="E209" s="4">
        <v>6</v>
      </c>
      <c r="F209" s="8">
        <v>0.21</v>
      </c>
      <c r="G209" s="4">
        <v>165</v>
      </c>
      <c r="H209" s="8">
        <v>2.42</v>
      </c>
      <c r="I209" s="4">
        <v>0</v>
      </c>
    </row>
    <row r="210" spans="1:9" x14ac:dyDescent="0.2">
      <c r="A210" s="2">
        <v>10</v>
      </c>
      <c r="B210" s="1" t="s">
        <v>158</v>
      </c>
      <c r="C210" s="4">
        <v>165</v>
      </c>
      <c r="D210" s="8">
        <v>1.7</v>
      </c>
      <c r="E210" s="4">
        <v>84</v>
      </c>
      <c r="F210" s="8">
        <v>2.94</v>
      </c>
      <c r="G210" s="4">
        <v>81</v>
      </c>
      <c r="H210" s="8">
        <v>1.19</v>
      </c>
      <c r="I210" s="4">
        <v>0</v>
      </c>
    </row>
    <row r="211" spans="1:9" x14ac:dyDescent="0.2">
      <c r="A211" s="2">
        <v>11</v>
      </c>
      <c r="B211" s="1" t="s">
        <v>159</v>
      </c>
      <c r="C211" s="4">
        <v>163</v>
      </c>
      <c r="D211" s="8">
        <v>1.68</v>
      </c>
      <c r="E211" s="4">
        <v>81</v>
      </c>
      <c r="F211" s="8">
        <v>2.83</v>
      </c>
      <c r="G211" s="4">
        <v>82</v>
      </c>
      <c r="H211" s="8">
        <v>1.2</v>
      </c>
      <c r="I211" s="4">
        <v>0</v>
      </c>
    </row>
    <row r="212" spans="1:9" x14ac:dyDescent="0.2">
      <c r="A212" s="2">
        <v>12</v>
      </c>
      <c r="B212" s="1" t="s">
        <v>161</v>
      </c>
      <c r="C212" s="4">
        <v>161</v>
      </c>
      <c r="D212" s="8">
        <v>1.66</v>
      </c>
      <c r="E212" s="4">
        <v>17</v>
      </c>
      <c r="F212" s="8">
        <v>0.59</v>
      </c>
      <c r="G212" s="4">
        <v>144</v>
      </c>
      <c r="H212" s="8">
        <v>2.11</v>
      </c>
      <c r="I212" s="4">
        <v>0</v>
      </c>
    </row>
    <row r="213" spans="1:9" x14ac:dyDescent="0.2">
      <c r="A213" s="2">
        <v>13</v>
      </c>
      <c r="B213" s="1" t="s">
        <v>176</v>
      </c>
      <c r="C213" s="4">
        <v>157</v>
      </c>
      <c r="D213" s="8">
        <v>1.62</v>
      </c>
      <c r="E213" s="4">
        <v>11</v>
      </c>
      <c r="F213" s="8">
        <v>0.38</v>
      </c>
      <c r="G213" s="4">
        <v>144</v>
      </c>
      <c r="H213" s="8">
        <v>2.11</v>
      </c>
      <c r="I213" s="4">
        <v>2</v>
      </c>
    </row>
    <row r="214" spans="1:9" x14ac:dyDescent="0.2">
      <c r="A214" s="2">
        <v>14</v>
      </c>
      <c r="B214" s="1" t="s">
        <v>196</v>
      </c>
      <c r="C214" s="4">
        <v>142</v>
      </c>
      <c r="D214" s="8">
        <v>1.46</v>
      </c>
      <c r="E214" s="4">
        <v>12</v>
      </c>
      <c r="F214" s="8">
        <v>0.42</v>
      </c>
      <c r="G214" s="4">
        <v>130</v>
      </c>
      <c r="H214" s="8">
        <v>1.9</v>
      </c>
      <c r="I214" s="4">
        <v>0</v>
      </c>
    </row>
    <row r="215" spans="1:9" x14ac:dyDescent="0.2">
      <c r="A215" s="2">
        <v>15</v>
      </c>
      <c r="B215" s="1" t="s">
        <v>157</v>
      </c>
      <c r="C215" s="4">
        <v>135</v>
      </c>
      <c r="D215" s="8">
        <v>1.39</v>
      </c>
      <c r="E215" s="4">
        <v>0</v>
      </c>
      <c r="F215" s="8">
        <v>0</v>
      </c>
      <c r="G215" s="4">
        <v>135</v>
      </c>
      <c r="H215" s="8">
        <v>1.98</v>
      </c>
      <c r="I215" s="4">
        <v>0</v>
      </c>
    </row>
    <row r="216" spans="1:9" x14ac:dyDescent="0.2">
      <c r="A216" s="2">
        <v>16</v>
      </c>
      <c r="B216" s="1" t="s">
        <v>195</v>
      </c>
      <c r="C216" s="4">
        <v>121</v>
      </c>
      <c r="D216" s="8">
        <v>1.25</v>
      </c>
      <c r="E216" s="4">
        <v>13</v>
      </c>
      <c r="F216" s="8">
        <v>0.45</v>
      </c>
      <c r="G216" s="4">
        <v>108</v>
      </c>
      <c r="H216" s="8">
        <v>1.58</v>
      </c>
      <c r="I216" s="4">
        <v>0</v>
      </c>
    </row>
    <row r="217" spans="1:9" x14ac:dyDescent="0.2">
      <c r="A217" s="2">
        <v>17</v>
      </c>
      <c r="B217" s="1" t="s">
        <v>160</v>
      </c>
      <c r="C217" s="4">
        <v>120</v>
      </c>
      <c r="D217" s="8">
        <v>1.24</v>
      </c>
      <c r="E217" s="4">
        <v>7</v>
      </c>
      <c r="F217" s="8">
        <v>0.24</v>
      </c>
      <c r="G217" s="4">
        <v>113</v>
      </c>
      <c r="H217" s="8">
        <v>1.65</v>
      </c>
      <c r="I217" s="4">
        <v>0</v>
      </c>
    </row>
    <row r="218" spans="1:9" x14ac:dyDescent="0.2">
      <c r="A218" s="2">
        <v>18</v>
      </c>
      <c r="B218" s="1" t="s">
        <v>197</v>
      </c>
      <c r="C218" s="4">
        <v>118</v>
      </c>
      <c r="D218" s="8">
        <v>1.22</v>
      </c>
      <c r="E218" s="4">
        <v>45</v>
      </c>
      <c r="F218" s="8">
        <v>1.57</v>
      </c>
      <c r="G218" s="4">
        <v>73</v>
      </c>
      <c r="H218" s="8">
        <v>1.07</v>
      </c>
      <c r="I218" s="4">
        <v>0</v>
      </c>
    </row>
    <row r="219" spans="1:9" x14ac:dyDescent="0.2">
      <c r="A219" s="2">
        <v>19</v>
      </c>
      <c r="B219" s="1" t="s">
        <v>166</v>
      </c>
      <c r="C219" s="4">
        <v>116</v>
      </c>
      <c r="D219" s="8">
        <v>1.2</v>
      </c>
      <c r="E219" s="4">
        <v>2</v>
      </c>
      <c r="F219" s="8">
        <v>7.0000000000000007E-2</v>
      </c>
      <c r="G219" s="4">
        <v>114</v>
      </c>
      <c r="H219" s="8">
        <v>1.67</v>
      </c>
      <c r="I219" s="4">
        <v>0</v>
      </c>
    </row>
    <row r="220" spans="1:9" x14ac:dyDescent="0.2">
      <c r="A220" s="2">
        <v>20</v>
      </c>
      <c r="B220" s="1" t="s">
        <v>177</v>
      </c>
      <c r="C220" s="4">
        <v>113</v>
      </c>
      <c r="D220" s="8">
        <v>1.1599999999999999</v>
      </c>
      <c r="E220" s="4">
        <v>10</v>
      </c>
      <c r="F220" s="8">
        <v>0.35</v>
      </c>
      <c r="G220" s="4">
        <v>103</v>
      </c>
      <c r="H220" s="8">
        <v>1.51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162</v>
      </c>
      <c r="C223" s="4">
        <v>1131</v>
      </c>
      <c r="D223" s="8">
        <v>10.9</v>
      </c>
      <c r="E223" s="4">
        <v>647</v>
      </c>
      <c r="F223" s="8">
        <v>18.059999999999999</v>
      </c>
      <c r="G223" s="4">
        <v>484</v>
      </c>
      <c r="H223" s="8">
        <v>7.18</v>
      </c>
      <c r="I223" s="4">
        <v>0</v>
      </c>
    </row>
    <row r="224" spans="1:9" x14ac:dyDescent="0.2">
      <c r="A224" s="2">
        <v>2</v>
      </c>
      <c r="B224" s="1" t="s">
        <v>168</v>
      </c>
      <c r="C224" s="4">
        <v>408</v>
      </c>
      <c r="D224" s="8">
        <v>3.93</v>
      </c>
      <c r="E224" s="4">
        <v>264</v>
      </c>
      <c r="F224" s="8">
        <v>7.37</v>
      </c>
      <c r="G224" s="4">
        <v>144</v>
      </c>
      <c r="H224" s="8">
        <v>2.14</v>
      </c>
      <c r="I224" s="4">
        <v>0</v>
      </c>
    </row>
    <row r="225" spans="1:9" x14ac:dyDescent="0.2">
      <c r="A225" s="2">
        <v>3</v>
      </c>
      <c r="B225" s="1" t="s">
        <v>169</v>
      </c>
      <c r="C225" s="4">
        <v>329</v>
      </c>
      <c r="D225" s="8">
        <v>3.17</v>
      </c>
      <c r="E225" s="4">
        <v>251</v>
      </c>
      <c r="F225" s="8">
        <v>7.01</v>
      </c>
      <c r="G225" s="4">
        <v>78</v>
      </c>
      <c r="H225" s="8">
        <v>1.1599999999999999</v>
      </c>
      <c r="I225" s="4">
        <v>0</v>
      </c>
    </row>
    <row r="226" spans="1:9" x14ac:dyDescent="0.2">
      <c r="A226" s="2">
        <v>4</v>
      </c>
      <c r="B226" s="1" t="s">
        <v>172</v>
      </c>
      <c r="C226" s="4">
        <v>277</v>
      </c>
      <c r="D226" s="8">
        <v>2.67</v>
      </c>
      <c r="E226" s="4">
        <v>210</v>
      </c>
      <c r="F226" s="8">
        <v>5.86</v>
      </c>
      <c r="G226" s="4">
        <v>67</v>
      </c>
      <c r="H226" s="8">
        <v>0.99</v>
      </c>
      <c r="I226" s="4">
        <v>0</v>
      </c>
    </row>
    <row r="227" spans="1:9" x14ac:dyDescent="0.2">
      <c r="A227" s="2">
        <v>5</v>
      </c>
      <c r="B227" s="1" t="s">
        <v>163</v>
      </c>
      <c r="C227" s="4">
        <v>252</v>
      </c>
      <c r="D227" s="8">
        <v>2.4300000000000002</v>
      </c>
      <c r="E227" s="4">
        <v>9</v>
      </c>
      <c r="F227" s="8">
        <v>0.25</v>
      </c>
      <c r="G227" s="4">
        <v>241</v>
      </c>
      <c r="H227" s="8">
        <v>3.57</v>
      </c>
      <c r="I227" s="4">
        <v>2</v>
      </c>
    </row>
    <row r="228" spans="1:9" x14ac:dyDescent="0.2">
      <c r="A228" s="2">
        <v>6</v>
      </c>
      <c r="B228" s="1" t="s">
        <v>160</v>
      </c>
      <c r="C228" s="4">
        <v>226</v>
      </c>
      <c r="D228" s="8">
        <v>2.1800000000000002</v>
      </c>
      <c r="E228" s="4">
        <v>17</v>
      </c>
      <c r="F228" s="8">
        <v>0.47</v>
      </c>
      <c r="G228" s="4">
        <v>209</v>
      </c>
      <c r="H228" s="8">
        <v>3.1</v>
      </c>
      <c r="I228" s="4">
        <v>0</v>
      </c>
    </row>
    <row r="229" spans="1:9" x14ac:dyDescent="0.2">
      <c r="A229" s="2">
        <v>7</v>
      </c>
      <c r="B229" s="1" t="s">
        <v>175</v>
      </c>
      <c r="C229" s="4">
        <v>220</v>
      </c>
      <c r="D229" s="8">
        <v>2.12</v>
      </c>
      <c r="E229" s="4">
        <v>169</v>
      </c>
      <c r="F229" s="8">
        <v>4.72</v>
      </c>
      <c r="G229" s="4">
        <v>50</v>
      </c>
      <c r="H229" s="8">
        <v>0.74</v>
      </c>
      <c r="I229" s="4">
        <v>1</v>
      </c>
    </row>
    <row r="230" spans="1:9" x14ac:dyDescent="0.2">
      <c r="A230" s="2">
        <v>8</v>
      </c>
      <c r="B230" s="1" t="s">
        <v>161</v>
      </c>
      <c r="C230" s="4">
        <v>205</v>
      </c>
      <c r="D230" s="8">
        <v>1.98</v>
      </c>
      <c r="E230" s="4">
        <v>43</v>
      </c>
      <c r="F230" s="8">
        <v>1.2</v>
      </c>
      <c r="G230" s="4">
        <v>162</v>
      </c>
      <c r="H230" s="8">
        <v>2.4</v>
      </c>
      <c r="I230" s="4">
        <v>0</v>
      </c>
    </row>
    <row r="231" spans="1:9" x14ac:dyDescent="0.2">
      <c r="A231" s="2">
        <v>9</v>
      </c>
      <c r="B231" s="1" t="s">
        <v>170</v>
      </c>
      <c r="C231" s="4">
        <v>202</v>
      </c>
      <c r="D231" s="8">
        <v>1.95</v>
      </c>
      <c r="E231" s="4">
        <v>167</v>
      </c>
      <c r="F231" s="8">
        <v>4.66</v>
      </c>
      <c r="G231" s="4">
        <v>35</v>
      </c>
      <c r="H231" s="8">
        <v>0.52</v>
      </c>
      <c r="I231" s="4">
        <v>0</v>
      </c>
    </row>
    <row r="232" spans="1:9" x14ac:dyDescent="0.2">
      <c r="A232" s="2">
        <v>10</v>
      </c>
      <c r="B232" s="1" t="s">
        <v>157</v>
      </c>
      <c r="C232" s="4">
        <v>178</v>
      </c>
      <c r="D232" s="8">
        <v>1.72</v>
      </c>
      <c r="E232" s="4">
        <v>4</v>
      </c>
      <c r="F232" s="8">
        <v>0.11</v>
      </c>
      <c r="G232" s="4">
        <v>174</v>
      </c>
      <c r="H232" s="8">
        <v>2.58</v>
      </c>
      <c r="I232" s="4">
        <v>0</v>
      </c>
    </row>
    <row r="233" spans="1:9" x14ac:dyDescent="0.2">
      <c r="A233" s="2">
        <v>11</v>
      </c>
      <c r="B233" s="1" t="s">
        <v>159</v>
      </c>
      <c r="C233" s="4">
        <v>169</v>
      </c>
      <c r="D233" s="8">
        <v>1.63</v>
      </c>
      <c r="E233" s="4">
        <v>89</v>
      </c>
      <c r="F233" s="8">
        <v>2.48</v>
      </c>
      <c r="G233" s="4">
        <v>80</v>
      </c>
      <c r="H233" s="8">
        <v>1.19</v>
      </c>
      <c r="I233" s="4">
        <v>0</v>
      </c>
    </row>
    <row r="234" spans="1:9" x14ac:dyDescent="0.2">
      <c r="A234" s="2">
        <v>12</v>
      </c>
      <c r="B234" s="1" t="s">
        <v>173</v>
      </c>
      <c r="C234" s="4">
        <v>168</v>
      </c>
      <c r="D234" s="8">
        <v>1.62</v>
      </c>
      <c r="E234" s="4">
        <v>87</v>
      </c>
      <c r="F234" s="8">
        <v>2.4300000000000002</v>
      </c>
      <c r="G234" s="4">
        <v>80</v>
      </c>
      <c r="H234" s="8">
        <v>1.19</v>
      </c>
      <c r="I234" s="4">
        <v>1</v>
      </c>
    </row>
    <row r="235" spans="1:9" x14ac:dyDescent="0.2">
      <c r="A235" s="2">
        <v>13</v>
      </c>
      <c r="B235" s="1" t="s">
        <v>166</v>
      </c>
      <c r="C235" s="4">
        <v>167</v>
      </c>
      <c r="D235" s="8">
        <v>1.61</v>
      </c>
      <c r="E235" s="4">
        <v>7</v>
      </c>
      <c r="F235" s="8">
        <v>0.2</v>
      </c>
      <c r="G235" s="4">
        <v>160</v>
      </c>
      <c r="H235" s="8">
        <v>2.37</v>
      </c>
      <c r="I235" s="4">
        <v>0</v>
      </c>
    </row>
    <row r="236" spans="1:9" x14ac:dyDescent="0.2">
      <c r="A236" s="2">
        <v>14</v>
      </c>
      <c r="B236" s="1" t="s">
        <v>165</v>
      </c>
      <c r="C236" s="4">
        <v>157</v>
      </c>
      <c r="D236" s="8">
        <v>1.51</v>
      </c>
      <c r="E236" s="4">
        <v>2</v>
      </c>
      <c r="F236" s="8">
        <v>0.06</v>
      </c>
      <c r="G236" s="4">
        <v>155</v>
      </c>
      <c r="H236" s="8">
        <v>2.2999999999999998</v>
      </c>
      <c r="I236" s="4">
        <v>0</v>
      </c>
    </row>
    <row r="237" spans="1:9" x14ac:dyDescent="0.2">
      <c r="A237" s="2">
        <v>15</v>
      </c>
      <c r="B237" s="1" t="s">
        <v>176</v>
      </c>
      <c r="C237" s="4">
        <v>154</v>
      </c>
      <c r="D237" s="8">
        <v>1.48</v>
      </c>
      <c r="E237" s="4">
        <v>1</v>
      </c>
      <c r="F237" s="8">
        <v>0.03</v>
      </c>
      <c r="G237" s="4">
        <v>151</v>
      </c>
      <c r="H237" s="8">
        <v>2.2400000000000002</v>
      </c>
      <c r="I237" s="4">
        <v>2</v>
      </c>
    </row>
    <row r="238" spans="1:9" x14ac:dyDescent="0.2">
      <c r="A238" s="2">
        <v>16</v>
      </c>
      <c r="B238" s="1" t="s">
        <v>174</v>
      </c>
      <c r="C238" s="4">
        <v>149</v>
      </c>
      <c r="D238" s="8">
        <v>1.44</v>
      </c>
      <c r="E238" s="4">
        <v>136</v>
      </c>
      <c r="F238" s="8">
        <v>3.8</v>
      </c>
      <c r="G238" s="4">
        <v>13</v>
      </c>
      <c r="H238" s="8">
        <v>0.19</v>
      </c>
      <c r="I238" s="4">
        <v>0</v>
      </c>
    </row>
    <row r="239" spans="1:9" x14ac:dyDescent="0.2">
      <c r="A239" s="2">
        <v>17</v>
      </c>
      <c r="B239" s="1" t="s">
        <v>158</v>
      </c>
      <c r="C239" s="4">
        <v>146</v>
      </c>
      <c r="D239" s="8">
        <v>1.41</v>
      </c>
      <c r="E239" s="4">
        <v>84</v>
      </c>
      <c r="F239" s="8">
        <v>2.34</v>
      </c>
      <c r="G239" s="4">
        <v>62</v>
      </c>
      <c r="H239" s="8">
        <v>0.92</v>
      </c>
      <c r="I239" s="4">
        <v>0</v>
      </c>
    </row>
    <row r="240" spans="1:9" x14ac:dyDescent="0.2">
      <c r="A240" s="2">
        <v>18</v>
      </c>
      <c r="B240" s="1" t="s">
        <v>171</v>
      </c>
      <c r="C240" s="4">
        <v>142</v>
      </c>
      <c r="D240" s="8">
        <v>1.37</v>
      </c>
      <c r="E240" s="4">
        <v>129</v>
      </c>
      <c r="F240" s="8">
        <v>3.6</v>
      </c>
      <c r="G240" s="4">
        <v>13</v>
      </c>
      <c r="H240" s="8">
        <v>0.19</v>
      </c>
      <c r="I240" s="4">
        <v>0</v>
      </c>
    </row>
    <row r="241" spans="1:9" x14ac:dyDescent="0.2">
      <c r="A241" s="2">
        <v>19</v>
      </c>
      <c r="B241" s="1" t="s">
        <v>197</v>
      </c>
      <c r="C241" s="4">
        <v>128</v>
      </c>
      <c r="D241" s="8">
        <v>1.23</v>
      </c>
      <c r="E241" s="4">
        <v>49</v>
      </c>
      <c r="F241" s="8">
        <v>1.37</v>
      </c>
      <c r="G241" s="4">
        <v>79</v>
      </c>
      <c r="H241" s="8">
        <v>1.17</v>
      </c>
      <c r="I241" s="4">
        <v>0</v>
      </c>
    </row>
    <row r="242" spans="1:9" x14ac:dyDescent="0.2">
      <c r="A242" s="2">
        <v>20</v>
      </c>
      <c r="B242" s="1" t="s">
        <v>198</v>
      </c>
      <c r="C242" s="4">
        <v>125</v>
      </c>
      <c r="D242" s="8">
        <v>1.2</v>
      </c>
      <c r="E242" s="4">
        <v>20</v>
      </c>
      <c r="F242" s="8">
        <v>0.56000000000000005</v>
      </c>
      <c r="G242" s="4">
        <v>105</v>
      </c>
      <c r="H242" s="8">
        <v>1.56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162</v>
      </c>
      <c r="C245" s="4">
        <v>671</v>
      </c>
      <c r="D245" s="8">
        <v>9.1</v>
      </c>
      <c r="E245" s="4">
        <v>219</v>
      </c>
      <c r="F245" s="8">
        <v>9.9499999999999993</v>
      </c>
      <c r="G245" s="4">
        <v>452</v>
      </c>
      <c r="H245" s="8">
        <v>8.77</v>
      </c>
      <c r="I245" s="4">
        <v>0</v>
      </c>
    </row>
    <row r="246" spans="1:9" x14ac:dyDescent="0.2">
      <c r="A246" s="2">
        <v>2</v>
      </c>
      <c r="B246" s="1" t="s">
        <v>172</v>
      </c>
      <c r="C246" s="4">
        <v>310</v>
      </c>
      <c r="D246" s="8">
        <v>4.21</v>
      </c>
      <c r="E246" s="4">
        <v>215</v>
      </c>
      <c r="F246" s="8">
        <v>9.77</v>
      </c>
      <c r="G246" s="4">
        <v>95</v>
      </c>
      <c r="H246" s="8">
        <v>1.84</v>
      </c>
      <c r="I246" s="4">
        <v>0</v>
      </c>
    </row>
    <row r="247" spans="1:9" x14ac:dyDescent="0.2">
      <c r="A247" s="2">
        <v>3</v>
      </c>
      <c r="B247" s="1" t="s">
        <v>168</v>
      </c>
      <c r="C247" s="4">
        <v>306</v>
      </c>
      <c r="D247" s="8">
        <v>4.1500000000000004</v>
      </c>
      <c r="E247" s="4">
        <v>165</v>
      </c>
      <c r="F247" s="8">
        <v>7.5</v>
      </c>
      <c r="G247" s="4">
        <v>140</v>
      </c>
      <c r="H247" s="8">
        <v>2.72</v>
      </c>
      <c r="I247" s="4">
        <v>1</v>
      </c>
    </row>
    <row r="248" spans="1:9" x14ac:dyDescent="0.2">
      <c r="A248" s="2">
        <v>4</v>
      </c>
      <c r="B248" s="1" t="s">
        <v>163</v>
      </c>
      <c r="C248" s="4">
        <v>249</v>
      </c>
      <c r="D248" s="8">
        <v>3.38</v>
      </c>
      <c r="E248" s="4">
        <v>6</v>
      </c>
      <c r="F248" s="8">
        <v>0.27</v>
      </c>
      <c r="G248" s="4">
        <v>242</v>
      </c>
      <c r="H248" s="8">
        <v>4.7</v>
      </c>
      <c r="I248" s="4">
        <v>0</v>
      </c>
    </row>
    <row r="249" spans="1:9" x14ac:dyDescent="0.2">
      <c r="A249" s="2">
        <v>5</v>
      </c>
      <c r="B249" s="1" t="s">
        <v>161</v>
      </c>
      <c r="C249" s="4">
        <v>200</v>
      </c>
      <c r="D249" s="8">
        <v>2.71</v>
      </c>
      <c r="E249" s="4">
        <v>23</v>
      </c>
      <c r="F249" s="8">
        <v>1.04</v>
      </c>
      <c r="G249" s="4">
        <v>177</v>
      </c>
      <c r="H249" s="8">
        <v>3.43</v>
      </c>
      <c r="I249" s="4">
        <v>0</v>
      </c>
    </row>
    <row r="250" spans="1:9" x14ac:dyDescent="0.2">
      <c r="A250" s="2">
        <v>6</v>
      </c>
      <c r="B250" s="1" t="s">
        <v>159</v>
      </c>
      <c r="C250" s="4">
        <v>197</v>
      </c>
      <c r="D250" s="8">
        <v>2.67</v>
      </c>
      <c r="E250" s="4">
        <v>87</v>
      </c>
      <c r="F250" s="8">
        <v>3.95</v>
      </c>
      <c r="G250" s="4">
        <v>110</v>
      </c>
      <c r="H250" s="8">
        <v>2.13</v>
      </c>
      <c r="I250" s="4">
        <v>0</v>
      </c>
    </row>
    <row r="251" spans="1:9" x14ac:dyDescent="0.2">
      <c r="A251" s="2">
        <v>7</v>
      </c>
      <c r="B251" s="1" t="s">
        <v>175</v>
      </c>
      <c r="C251" s="4">
        <v>169</v>
      </c>
      <c r="D251" s="8">
        <v>2.29</v>
      </c>
      <c r="E251" s="4">
        <v>122</v>
      </c>
      <c r="F251" s="8">
        <v>5.54</v>
      </c>
      <c r="G251" s="4">
        <v>47</v>
      </c>
      <c r="H251" s="8">
        <v>0.91</v>
      </c>
      <c r="I251" s="4">
        <v>0</v>
      </c>
    </row>
    <row r="252" spans="1:9" x14ac:dyDescent="0.2">
      <c r="A252" s="2">
        <v>8</v>
      </c>
      <c r="B252" s="1" t="s">
        <v>199</v>
      </c>
      <c r="C252" s="4">
        <v>161</v>
      </c>
      <c r="D252" s="8">
        <v>2.1800000000000002</v>
      </c>
      <c r="E252" s="4">
        <v>44</v>
      </c>
      <c r="F252" s="8">
        <v>2</v>
      </c>
      <c r="G252" s="4">
        <v>117</v>
      </c>
      <c r="H252" s="8">
        <v>2.27</v>
      </c>
      <c r="I252" s="4">
        <v>0</v>
      </c>
    </row>
    <row r="253" spans="1:9" x14ac:dyDescent="0.2">
      <c r="A253" s="2">
        <v>9</v>
      </c>
      <c r="B253" s="1" t="s">
        <v>166</v>
      </c>
      <c r="C253" s="4">
        <v>156</v>
      </c>
      <c r="D253" s="8">
        <v>2.12</v>
      </c>
      <c r="E253" s="4">
        <v>9</v>
      </c>
      <c r="F253" s="8">
        <v>0.41</v>
      </c>
      <c r="G253" s="4">
        <v>147</v>
      </c>
      <c r="H253" s="8">
        <v>2.85</v>
      </c>
      <c r="I253" s="4">
        <v>0</v>
      </c>
    </row>
    <row r="254" spans="1:9" x14ac:dyDescent="0.2">
      <c r="A254" s="2">
        <v>10</v>
      </c>
      <c r="B254" s="1" t="s">
        <v>160</v>
      </c>
      <c r="C254" s="4">
        <v>153</v>
      </c>
      <c r="D254" s="8">
        <v>2.08</v>
      </c>
      <c r="E254" s="4">
        <v>14</v>
      </c>
      <c r="F254" s="8">
        <v>0.64</v>
      </c>
      <c r="G254" s="4">
        <v>139</v>
      </c>
      <c r="H254" s="8">
        <v>2.7</v>
      </c>
      <c r="I254" s="4">
        <v>0</v>
      </c>
    </row>
    <row r="255" spans="1:9" x14ac:dyDescent="0.2">
      <c r="A255" s="2">
        <v>11</v>
      </c>
      <c r="B255" s="1" t="s">
        <v>165</v>
      </c>
      <c r="C255" s="4">
        <v>148</v>
      </c>
      <c r="D255" s="8">
        <v>2.0099999999999998</v>
      </c>
      <c r="E255" s="4">
        <v>3</v>
      </c>
      <c r="F255" s="8">
        <v>0.14000000000000001</v>
      </c>
      <c r="G255" s="4">
        <v>145</v>
      </c>
      <c r="H255" s="8">
        <v>2.81</v>
      </c>
      <c r="I255" s="4">
        <v>0</v>
      </c>
    </row>
    <row r="256" spans="1:9" x14ac:dyDescent="0.2">
      <c r="A256" s="2">
        <v>11</v>
      </c>
      <c r="B256" s="1" t="s">
        <v>173</v>
      </c>
      <c r="C256" s="4">
        <v>148</v>
      </c>
      <c r="D256" s="8">
        <v>2.0099999999999998</v>
      </c>
      <c r="E256" s="4">
        <v>64</v>
      </c>
      <c r="F256" s="8">
        <v>2.91</v>
      </c>
      <c r="G256" s="4">
        <v>82</v>
      </c>
      <c r="H256" s="8">
        <v>1.59</v>
      </c>
      <c r="I256" s="4">
        <v>2</v>
      </c>
    </row>
    <row r="257" spans="1:9" x14ac:dyDescent="0.2">
      <c r="A257" s="2">
        <v>13</v>
      </c>
      <c r="B257" s="1" t="s">
        <v>169</v>
      </c>
      <c r="C257" s="4">
        <v>141</v>
      </c>
      <c r="D257" s="8">
        <v>1.91</v>
      </c>
      <c r="E257" s="4">
        <v>110</v>
      </c>
      <c r="F257" s="8">
        <v>5</v>
      </c>
      <c r="G257" s="4">
        <v>31</v>
      </c>
      <c r="H257" s="8">
        <v>0.6</v>
      </c>
      <c r="I257" s="4">
        <v>0</v>
      </c>
    </row>
    <row r="258" spans="1:9" x14ac:dyDescent="0.2">
      <c r="A258" s="2">
        <v>14</v>
      </c>
      <c r="B258" s="1" t="s">
        <v>167</v>
      </c>
      <c r="C258" s="4">
        <v>134</v>
      </c>
      <c r="D258" s="8">
        <v>1.82</v>
      </c>
      <c r="E258" s="4">
        <v>21</v>
      </c>
      <c r="F258" s="8">
        <v>0.95</v>
      </c>
      <c r="G258" s="4">
        <v>113</v>
      </c>
      <c r="H258" s="8">
        <v>2.19</v>
      </c>
      <c r="I258" s="4">
        <v>0</v>
      </c>
    </row>
    <row r="259" spans="1:9" x14ac:dyDescent="0.2">
      <c r="A259" s="2">
        <v>15</v>
      </c>
      <c r="B259" s="1" t="s">
        <v>174</v>
      </c>
      <c r="C259" s="4">
        <v>127</v>
      </c>
      <c r="D259" s="8">
        <v>1.72</v>
      </c>
      <c r="E259" s="4">
        <v>117</v>
      </c>
      <c r="F259" s="8">
        <v>5.32</v>
      </c>
      <c r="G259" s="4">
        <v>10</v>
      </c>
      <c r="H259" s="8">
        <v>0.19</v>
      </c>
      <c r="I259" s="4">
        <v>0</v>
      </c>
    </row>
    <row r="260" spans="1:9" x14ac:dyDescent="0.2">
      <c r="A260" s="2">
        <v>15</v>
      </c>
      <c r="B260" s="1" t="s">
        <v>176</v>
      </c>
      <c r="C260" s="4">
        <v>127</v>
      </c>
      <c r="D260" s="8">
        <v>1.72</v>
      </c>
      <c r="E260" s="4">
        <v>3</v>
      </c>
      <c r="F260" s="8">
        <v>0.14000000000000001</v>
      </c>
      <c r="G260" s="4">
        <v>124</v>
      </c>
      <c r="H260" s="8">
        <v>2.41</v>
      </c>
      <c r="I260" s="4">
        <v>0</v>
      </c>
    </row>
    <row r="261" spans="1:9" x14ac:dyDescent="0.2">
      <c r="A261" s="2">
        <v>17</v>
      </c>
      <c r="B261" s="1" t="s">
        <v>170</v>
      </c>
      <c r="C261" s="4">
        <v>124</v>
      </c>
      <c r="D261" s="8">
        <v>1.68</v>
      </c>
      <c r="E261" s="4">
        <v>99</v>
      </c>
      <c r="F261" s="8">
        <v>4.5</v>
      </c>
      <c r="G261" s="4">
        <v>25</v>
      </c>
      <c r="H261" s="8">
        <v>0.49</v>
      </c>
      <c r="I261" s="4">
        <v>0</v>
      </c>
    </row>
    <row r="262" spans="1:9" x14ac:dyDescent="0.2">
      <c r="A262" s="2">
        <v>18</v>
      </c>
      <c r="B262" s="1" t="s">
        <v>187</v>
      </c>
      <c r="C262" s="4">
        <v>115</v>
      </c>
      <c r="D262" s="8">
        <v>1.56</v>
      </c>
      <c r="E262" s="4">
        <v>12</v>
      </c>
      <c r="F262" s="8">
        <v>0.55000000000000004</v>
      </c>
      <c r="G262" s="4">
        <v>103</v>
      </c>
      <c r="H262" s="8">
        <v>2</v>
      </c>
      <c r="I262" s="4">
        <v>0</v>
      </c>
    </row>
    <row r="263" spans="1:9" x14ac:dyDescent="0.2">
      <c r="A263" s="2">
        <v>19</v>
      </c>
      <c r="B263" s="1" t="s">
        <v>158</v>
      </c>
      <c r="C263" s="4">
        <v>101</v>
      </c>
      <c r="D263" s="8">
        <v>1.37</v>
      </c>
      <c r="E263" s="4">
        <v>42</v>
      </c>
      <c r="F263" s="8">
        <v>1.91</v>
      </c>
      <c r="G263" s="4">
        <v>59</v>
      </c>
      <c r="H263" s="8">
        <v>1.1399999999999999</v>
      </c>
      <c r="I263" s="4">
        <v>0</v>
      </c>
    </row>
    <row r="264" spans="1:9" x14ac:dyDescent="0.2">
      <c r="A264" s="2">
        <v>20</v>
      </c>
      <c r="B264" s="1" t="s">
        <v>157</v>
      </c>
      <c r="C264" s="4">
        <v>90</v>
      </c>
      <c r="D264" s="8">
        <v>1.22</v>
      </c>
      <c r="E264" s="4">
        <v>2</v>
      </c>
      <c r="F264" s="8">
        <v>0.09</v>
      </c>
      <c r="G264" s="4">
        <v>88</v>
      </c>
      <c r="H264" s="8">
        <v>1.71</v>
      </c>
      <c r="I264" s="4">
        <v>0</v>
      </c>
    </row>
    <row r="265" spans="1:9" x14ac:dyDescent="0.2">
      <c r="A265" s="2">
        <v>20</v>
      </c>
      <c r="B265" s="1" t="s">
        <v>197</v>
      </c>
      <c r="C265" s="4">
        <v>90</v>
      </c>
      <c r="D265" s="8">
        <v>1.22</v>
      </c>
      <c r="E265" s="4">
        <v>22</v>
      </c>
      <c r="F265" s="8">
        <v>1</v>
      </c>
      <c r="G265" s="4">
        <v>68</v>
      </c>
      <c r="H265" s="8">
        <v>1.32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162</v>
      </c>
      <c r="C268" s="4">
        <v>1412</v>
      </c>
      <c r="D268" s="8">
        <v>8.2899999999999991</v>
      </c>
      <c r="E268" s="4">
        <v>629</v>
      </c>
      <c r="F268" s="8">
        <v>10.68</v>
      </c>
      <c r="G268" s="4">
        <v>783</v>
      </c>
      <c r="H268" s="8">
        <v>7.03</v>
      </c>
      <c r="I268" s="4">
        <v>0</v>
      </c>
    </row>
    <row r="269" spans="1:9" x14ac:dyDescent="0.2">
      <c r="A269" s="2">
        <v>2</v>
      </c>
      <c r="B269" s="1" t="s">
        <v>168</v>
      </c>
      <c r="C269" s="4">
        <v>583</v>
      </c>
      <c r="D269" s="8">
        <v>3.42</v>
      </c>
      <c r="E269" s="4">
        <v>380</v>
      </c>
      <c r="F269" s="8">
        <v>6.45</v>
      </c>
      <c r="G269" s="4">
        <v>203</v>
      </c>
      <c r="H269" s="8">
        <v>1.82</v>
      </c>
      <c r="I269" s="4">
        <v>0</v>
      </c>
    </row>
    <row r="270" spans="1:9" x14ac:dyDescent="0.2">
      <c r="A270" s="2">
        <v>3</v>
      </c>
      <c r="B270" s="1" t="s">
        <v>172</v>
      </c>
      <c r="C270" s="4">
        <v>484</v>
      </c>
      <c r="D270" s="8">
        <v>2.84</v>
      </c>
      <c r="E270" s="4">
        <v>367</v>
      </c>
      <c r="F270" s="8">
        <v>6.23</v>
      </c>
      <c r="G270" s="4">
        <v>117</v>
      </c>
      <c r="H270" s="8">
        <v>1.05</v>
      </c>
      <c r="I270" s="4">
        <v>0</v>
      </c>
    </row>
    <row r="271" spans="1:9" x14ac:dyDescent="0.2">
      <c r="A271" s="2">
        <v>4</v>
      </c>
      <c r="B271" s="1" t="s">
        <v>169</v>
      </c>
      <c r="C271" s="4">
        <v>476</v>
      </c>
      <c r="D271" s="8">
        <v>2.79</v>
      </c>
      <c r="E271" s="4">
        <v>383</v>
      </c>
      <c r="F271" s="8">
        <v>6.51</v>
      </c>
      <c r="G271" s="4">
        <v>93</v>
      </c>
      <c r="H271" s="8">
        <v>0.84</v>
      </c>
      <c r="I271" s="4">
        <v>0</v>
      </c>
    </row>
    <row r="272" spans="1:9" x14ac:dyDescent="0.2">
      <c r="A272" s="2">
        <v>5</v>
      </c>
      <c r="B272" s="1" t="s">
        <v>163</v>
      </c>
      <c r="C272" s="4">
        <v>422</v>
      </c>
      <c r="D272" s="8">
        <v>2.48</v>
      </c>
      <c r="E272" s="4">
        <v>15</v>
      </c>
      <c r="F272" s="8">
        <v>0.25</v>
      </c>
      <c r="G272" s="4">
        <v>406</v>
      </c>
      <c r="H272" s="8">
        <v>3.65</v>
      </c>
      <c r="I272" s="4">
        <v>1</v>
      </c>
    </row>
    <row r="273" spans="1:9" x14ac:dyDescent="0.2">
      <c r="A273" s="2">
        <v>6</v>
      </c>
      <c r="B273" s="1" t="s">
        <v>175</v>
      </c>
      <c r="C273" s="4">
        <v>371</v>
      </c>
      <c r="D273" s="8">
        <v>2.1800000000000002</v>
      </c>
      <c r="E273" s="4">
        <v>261</v>
      </c>
      <c r="F273" s="8">
        <v>4.43</v>
      </c>
      <c r="G273" s="4">
        <v>110</v>
      </c>
      <c r="H273" s="8">
        <v>0.99</v>
      </c>
      <c r="I273" s="4">
        <v>0</v>
      </c>
    </row>
    <row r="274" spans="1:9" x14ac:dyDescent="0.2">
      <c r="A274" s="2">
        <v>7</v>
      </c>
      <c r="B274" s="1" t="s">
        <v>170</v>
      </c>
      <c r="C274" s="4">
        <v>308</v>
      </c>
      <c r="D274" s="8">
        <v>1.81</v>
      </c>
      <c r="E274" s="4">
        <v>281</v>
      </c>
      <c r="F274" s="8">
        <v>4.7699999999999996</v>
      </c>
      <c r="G274" s="4">
        <v>27</v>
      </c>
      <c r="H274" s="8">
        <v>0.24</v>
      </c>
      <c r="I274" s="4">
        <v>0</v>
      </c>
    </row>
    <row r="275" spans="1:9" x14ac:dyDescent="0.2">
      <c r="A275" s="2">
        <v>8</v>
      </c>
      <c r="B275" s="1" t="s">
        <v>161</v>
      </c>
      <c r="C275" s="4">
        <v>305</v>
      </c>
      <c r="D275" s="8">
        <v>1.79</v>
      </c>
      <c r="E275" s="4">
        <v>52</v>
      </c>
      <c r="F275" s="8">
        <v>0.88</v>
      </c>
      <c r="G275" s="4">
        <v>253</v>
      </c>
      <c r="H275" s="8">
        <v>2.27</v>
      </c>
      <c r="I275" s="4">
        <v>0</v>
      </c>
    </row>
    <row r="276" spans="1:9" x14ac:dyDescent="0.2">
      <c r="A276" s="2">
        <v>9</v>
      </c>
      <c r="B276" s="1" t="s">
        <v>171</v>
      </c>
      <c r="C276" s="4">
        <v>284</v>
      </c>
      <c r="D276" s="8">
        <v>1.67</v>
      </c>
      <c r="E276" s="4">
        <v>260</v>
      </c>
      <c r="F276" s="8">
        <v>4.42</v>
      </c>
      <c r="G276" s="4">
        <v>24</v>
      </c>
      <c r="H276" s="8">
        <v>0.22</v>
      </c>
      <c r="I276" s="4">
        <v>0</v>
      </c>
    </row>
    <row r="277" spans="1:9" x14ac:dyDescent="0.2">
      <c r="A277" s="2">
        <v>10</v>
      </c>
      <c r="B277" s="1" t="s">
        <v>159</v>
      </c>
      <c r="C277" s="4">
        <v>283</v>
      </c>
      <c r="D277" s="8">
        <v>1.66</v>
      </c>
      <c r="E277" s="4">
        <v>173</v>
      </c>
      <c r="F277" s="8">
        <v>2.94</v>
      </c>
      <c r="G277" s="4">
        <v>110</v>
      </c>
      <c r="H277" s="8">
        <v>0.99</v>
      </c>
      <c r="I277" s="4">
        <v>0</v>
      </c>
    </row>
    <row r="278" spans="1:9" x14ac:dyDescent="0.2">
      <c r="A278" s="2">
        <v>11</v>
      </c>
      <c r="B278" s="1" t="s">
        <v>160</v>
      </c>
      <c r="C278" s="4">
        <v>274</v>
      </c>
      <c r="D278" s="8">
        <v>1.61</v>
      </c>
      <c r="E278" s="4">
        <v>19</v>
      </c>
      <c r="F278" s="8">
        <v>0.32</v>
      </c>
      <c r="G278" s="4">
        <v>255</v>
      </c>
      <c r="H278" s="8">
        <v>2.29</v>
      </c>
      <c r="I278" s="4">
        <v>0</v>
      </c>
    </row>
    <row r="279" spans="1:9" x14ac:dyDescent="0.2">
      <c r="A279" s="2">
        <v>12</v>
      </c>
      <c r="B279" s="1" t="s">
        <v>158</v>
      </c>
      <c r="C279" s="4">
        <v>273</v>
      </c>
      <c r="D279" s="8">
        <v>1.6</v>
      </c>
      <c r="E279" s="4">
        <v>144</v>
      </c>
      <c r="F279" s="8">
        <v>2.4500000000000002</v>
      </c>
      <c r="G279" s="4">
        <v>129</v>
      </c>
      <c r="H279" s="8">
        <v>1.1599999999999999</v>
      </c>
      <c r="I279" s="4">
        <v>0</v>
      </c>
    </row>
    <row r="280" spans="1:9" x14ac:dyDescent="0.2">
      <c r="A280" s="2">
        <v>13</v>
      </c>
      <c r="B280" s="1" t="s">
        <v>192</v>
      </c>
      <c r="C280" s="4">
        <v>257</v>
      </c>
      <c r="D280" s="8">
        <v>1.51</v>
      </c>
      <c r="E280" s="4">
        <v>39</v>
      </c>
      <c r="F280" s="8">
        <v>0.66</v>
      </c>
      <c r="G280" s="4">
        <v>218</v>
      </c>
      <c r="H280" s="8">
        <v>1.96</v>
      </c>
      <c r="I280" s="4">
        <v>0</v>
      </c>
    </row>
    <row r="281" spans="1:9" x14ac:dyDescent="0.2">
      <c r="A281" s="2">
        <v>14</v>
      </c>
      <c r="B281" s="1" t="s">
        <v>173</v>
      </c>
      <c r="C281" s="4">
        <v>247</v>
      </c>
      <c r="D281" s="8">
        <v>1.45</v>
      </c>
      <c r="E281" s="4">
        <v>153</v>
      </c>
      <c r="F281" s="8">
        <v>2.6</v>
      </c>
      <c r="G281" s="4">
        <v>93</v>
      </c>
      <c r="H281" s="8">
        <v>0.84</v>
      </c>
      <c r="I281" s="4">
        <v>1</v>
      </c>
    </row>
    <row r="282" spans="1:9" x14ac:dyDescent="0.2">
      <c r="A282" s="2">
        <v>15</v>
      </c>
      <c r="B282" s="1" t="s">
        <v>197</v>
      </c>
      <c r="C282" s="4">
        <v>242</v>
      </c>
      <c r="D282" s="8">
        <v>1.42</v>
      </c>
      <c r="E282" s="4">
        <v>98</v>
      </c>
      <c r="F282" s="8">
        <v>1.66</v>
      </c>
      <c r="G282" s="4">
        <v>144</v>
      </c>
      <c r="H282" s="8">
        <v>1.29</v>
      </c>
      <c r="I282" s="4">
        <v>0</v>
      </c>
    </row>
    <row r="283" spans="1:9" x14ac:dyDescent="0.2">
      <c r="A283" s="2">
        <v>16</v>
      </c>
      <c r="B283" s="1" t="s">
        <v>174</v>
      </c>
      <c r="C283" s="4">
        <v>237</v>
      </c>
      <c r="D283" s="8">
        <v>1.39</v>
      </c>
      <c r="E283" s="4">
        <v>209</v>
      </c>
      <c r="F283" s="8">
        <v>3.55</v>
      </c>
      <c r="G283" s="4">
        <v>28</v>
      </c>
      <c r="H283" s="8">
        <v>0.25</v>
      </c>
      <c r="I283" s="4">
        <v>0</v>
      </c>
    </row>
    <row r="284" spans="1:9" x14ac:dyDescent="0.2">
      <c r="A284" s="2">
        <v>17</v>
      </c>
      <c r="B284" s="1" t="s">
        <v>201</v>
      </c>
      <c r="C284" s="4">
        <v>221</v>
      </c>
      <c r="D284" s="8">
        <v>1.3</v>
      </c>
      <c r="E284" s="4">
        <v>7</v>
      </c>
      <c r="F284" s="8">
        <v>0.12</v>
      </c>
      <c r="G284" s="4">
        <v>214</v>
      </c>
      <c r="H284" s="8">
        <v>1.92</v>
      </c>
      <c r="I284" s="4">
        <v>0</v>
      </c>
    </row>
    <row r="285" spans="1:9" x14ac:dyDescent="0.2">
      <c r="A285" s="2">
        <v>18</v>
      </c>
      <c r="B285" s="1" t="s">
        <v>202</v>
      </c>
      <c r="C285" s="4">
        <v>215</v>
      </c>
      <c r="D285" s="8">
        <v>1.26</v>
      </c>
      <c r="E285" s="4">
        <v>47</v>
      </c>
      <c r="F285" s="8">
        <v>0.8</v>
      </c>
      <c r="G285" s="4">
        <v>168</v>
      </c>
      <c r="H285" s="8">
        <v>1.51</v>
      </c>
      <c r="I285" s="4">
        <v>0</v>
      </c>
    </row>
    <row r="286" spans="1:9" x14ac:dyDescent="0.2">
      <c r="A286" s="2">
        <v>19</v>
      </c>
      <c r="B286" s="1" t="s">
        <v>166</v>
      </c>
      <c r="C286" s="4">
        <v>191</v>
      </c>
      <c r="D286" s="8">
        <v>1.1200000000000001</v>
      </c>
      <c r="E286" s="4">
        <v>7</v>
      </c>
      <c r="F286" s="8">
        <v>0.12</v>
      </c>
      <c r="G286" s="4">
        <v>184</v>
      </c>
      <c r="H286" s="8">
        <v>1.65</v>
      </c>
      <c r="I286" s="4">
        <v>0</v>
      </c>
    </row>
    <row r="287" spans="1:9" x14ac:dyDescent="0.2">
      <c r="A287" s="2">
        <v>20</v>
      </c>
      <c r="B287" s="1" t="s">
        <v>200</v>
      </c>
      <c r="C287" s="4">
        <v>188</v>
      </c>
      <c r="D287" s="8">
        <v>1.1000000000000001</v>
      </c>
      <c r="E287" s="4">
        <v>14</v>
      </c>
      <c r="F287" s="8">
        <v>0.24</v>
      </c>
      <c r="G287" s="4">
        <v>174</v>
      </c>
      <c r="H287" s="8">
        <v>1.56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162</v>
      </c>
      <c r="C290" s="4">
        <v>1167</v>
      </c>
      <c r="D290" s="8">
        <v>7.21</v>
      </c>
      <c r="E290" s="4">
        <v>236</v>
      </c>
      <c r="F290" s="8">
        <v>4.32</v>
      </c>
      <c r="G290" s="4">
        <v>930</v>
      </c>
      <c r="H290" s="8">
        <v>8.69</v>
      </c>
      <c r="I290" s="4">
        <v>1</v>
      </c>
    </row>
    <row r="291" spans="1:9" x14ac:dyDescent="0.2">
      <c r="A291" s="2">
        <v>2</v>
      </c>
      <c r="B291" s="1" t="s">
        <v>172</v>
      </c>
      <c r="C291" s="4">
        <v>759</v>
      </c>
      <c r="D291" s="8">
        <v>4.6900000000000004</v>
      </c>
      <c r="E291" s="4">
        <v>552</v>
      </c>
      <c r="F291" s="8">
        <v>10.119999999999999</v>
      </c>
      <c r="G291" s="4">
        <v>207</v>
      </c>
      <c r="H291" s="8">
        <v>1.93</v>
      </c>
      <c r="I291" s="4">
        <v>0</v>
      </c>
    </row>
    <row r="292" spans="1:9" x14ac:dyDescent="0.2">
      <c r="A292" s="2">
        <v>3</v>
      </c>
      <c r="B292" s="1" t="s">
        <v>168</v>
      </c>
      <c r="C292" s="4">
        <v>565</v>
      </c>
      <c r="D292" s="8">
        <v>3.49</v>
      </c>
      <c r="E292" s="4">
        <v>390</v>
      </c>
      <c r="F292" s="8">
        <v>7.15</v>
      </c>
      <c r="G292" s="4">
        <v>175</v>
      </c>
      <c r="H292" s="8">
        <v>1.64</v>
      </c>
      <c r="I292" s="4">
        <v>0</v>
      </c>
    </row>
    <row r="293" spans="1:9" x14ac:dyDescent="0.2">
      <c r="A293" s="2">
        <v>4</v>
      </c>
      <c r="B293" s="1" t="s">
        <v>163</v>
      </c>
      <c r="C293" s="4">
        <v>554</v>
      </c>
      <c r="D293" s="8">
        <v>3.43</v>
      </c>
      <c r="E293" s="4">
        <v>10</v>
      </c>
      <c r="F293" s="8">
        <v>0.18</v>
      </c>
      <c r="G293" s="4">
        <v>540</v>
      </c>
      <c r="H293" s="8">
        <v>5.05</v>
      </c>
      <c r="I293" s="4">
        <v>3</v>
      </c>
    </row>
    <row r="294" spans="1:9" x14ac:dyDescent="0.2">
      <c r="A294" s="2">
        <v>5</v>
      </c>
      <c r="B294" s="1" t="s">
        <v>175</v>
      </c>
      <c r="C294" s="4">
        <v>514</v>
      </c>
      <c r="D294" s="8">
        <v>3.18</v>
      </c>
      <c r="E294" s="4">
        <v>393</v>
      </c>
      <c r="F294" s="8">
        <v>7.2</v>
      </c>
      <c r="G294" s="4">
        <v>121</v>
      </c>
      <c r="H294" s="8">
        <v>1.1299999999999999</v>
      </c>
      <c r="I294" s="4">
        <v>0</v>
      </c>
    </row>
    <row r="295" spans="1:9" x14ac:dyDescent="0.2">
      <c r="A295" s="2">
        <v>6</v>
      </c>
      <c r="B295" s="1" t="s">
        <v>173</v>
      </c>
      <c r="C295" s="4">
        <v>468</v>
      </c>
      <c r="D295" s="8">
        <v>2.89</v>
      </c>
      <c r="E295" s="4">
        <v>283</v>
      </c>
      <c r="F295" s="8">
        <v>5.19</v>
      </c>
      <c r="G295" s="4">
        <v>183</v>
      </c>
      <c r="H295" s="8">
        <v>1.71</v>
      </c>
      <c r="I295" s="4">
        <v>2</v>
      </c>
    </row>
    <row r="296" spans="1:9" x14ac:dyDescent="0.2">
      <c r="A296" s="2">
        <v>7</v>
      </c>
      <c r="B296" s="1" t="s">
        <v>159</v>
      </c>
      <c r="C296" s="4">
        <v>393</v>
      </c>
      <c r="D296" s="8">
        <v>2.4300000000000002</v>
      </c>
      <c r="E296" s="4">
        <v>192</v>
      </c>
      <c r="F296" s="8">
        <v>3.52</v>
      </c>
      <c r="G296" s="4">
        <v>201</v>
      </c>
      <c r="H296" s="8">
        <v>1.88</v>
      </c>
      <c r="I296" s="4">
        <v>0</v>
      </c>
    </row>
    <row r="297" spans="1:9" x14ac:dyDescent="0.2">
      <c r="A297" s="2">
        <v>8</v>
      </c>
      <c r="B297" s="1" t="s">
        <v>160</v>
      </c>
      <c r="C297" s="4">
        <v>365</v>
      </c>
      <c r="D297" s="8">
        <v>2.2599999999999998</v>
      </c>
      <c r="E297" s="4">
        <v>30</v>
      </c>
      <c r="F297" s="8">
        <v>0.55000000000000004</v>
      </c>
      <c r="G297" s="4">
        <v>335</v>
      </c>
      <c r="H297" s="8">
        <v>3.13</v>
      </c>
      <c r="I297" s="4">
        <v>0</v>
      </c>
    </row>
    <row r="298" spans="1:9" x14ac:dyDescent="0.2">
      <c r="A298" s="2">
        <v>9</v>
      </c>
      <c r="B298" s="1" t="s">
        <v>169</v>
      </c>
      <c r="C298" s="4">
        <v>363</v>
      </c>
      <c r="D298" s="8">
        <v>2.2400000000000002</v>
      </c>
      <c r="E298" s="4">
        <v>279</v>
      </c>
      <c r="F298" s="8">
        <v>5.1100000000000003</v>
      </c>
      <c r="G298" s="4">
        <v>84</v>
      </c>
      <c r="H298" s="8">
        <v>0.79</v>
      </c>
      <c r="I298" s="4">
        <v>0</v>
      </c>
    </row>
    <row r="299" spans="1:9" x14ac:dyDescent="0.2">
      <c r="A299" s="2">
        <v>10</v>
      </c>
      <c r="B299" s="1" t="s">
        <v>166</v>
      </c>
      <c r="C299" s="4">
        <v>343</v>
      </c>
      <c r="D299" s="8">
        <v>2.12</v>
      </c>
      <c r="E299" s="4">
        <v>19</v>
      </c>
      <c r="F299" s="8">
        <v>0.35</v>
      </c>
      <c r="G299" s="4">
        <v>324</v>
      </c>
      <c r="H299" s="8">
        <v>3.03</v>
      </c>
      <c r="I299" s="4">
        <v>0</v>
      </c>
    </row>
    <row r="300" spans="1:9" x14ac:dyDescent="0.2">
      <c r="A300" s="2">
        <v>11</v>
      </c>
      <c r="B300" s="1" t="s">
        <v>161</v>
      </c>
      <c r="C300" s="4">
        <v>308</v>
      </c>
      <c r="D300" s="8">
        <v>1.9</v>
      </c>
      <c r="E300" s="4">
        <v>30</v>
      </c>
      <c r="F300" s="8">
        <v>0.55000000000000004</v>
      </c>
      <c r="G300" s="4">
        <v>278</v>
      </c>
      <c r="H300" s="8">
        <v>2.6</v>
      </c>
      <c r="I300" s="4">
        <v>0</v>
      </c>
    </row>
    <row r="301" spans="1:9" x14ac:dyDescent="0.2">
      <c r="A301" s="2">
        <v>12</v>
      </c>
      <c r="B301" s="1" t="s">
        <v>167</v>
      </c>
      <c r="C301" s="4">
        <v>296</v>
      </c>
      <c r="D301" s="8">
        <v>1.83</v>
      </c>
      <c r="E301" s="4">
        <v>61</v>
      </c>
      <c r="F301" s="8">
        <v>1.1200000000000001</v>
      </c>
      <c r="G301" s="4">
        <v>235</v>
      </c>
      <c r="H301" s="8">
        <v>2.2000000000000002</v>
      </c>
      <c r="I301" s="4">
        <v>0</v>
      </c>
    </row>
    <row r="302" spans="1:9" x14ac:dyDescent="0.2">
      <c r="A302" s="2">
        <v>13</v>
      </c>
      <c r="B302" s="1" t="s">
        <v>174</v>
      </c>
      <c r="C302" s="4">
        <v>292</v>
      </c>
      <c r="D302" s="8">
        <v>1.81</v>
      </c>
      <c r="E302" s="4">
        <v>264</v>
      </c>
      <c r="F302" s="8">
        <v>4.84</v>
      </c>
      <c r="G302" s="4">
        <v>28</v>
      </c>
      <c r="H302" s="8">
        <v>0.26</v>
      </c>
      <c r="I302" s="4">
        <v>0</v>
      </c>
    </row>
    <row r="303" spans="1:9" x14ac:dyDescent="0.2">
      <c r="A303" s="2">
        <v>14</v>
      </c>
      <c r="B303" s="1" t="s">
        <v>171</v>
      </c>
      <c r="C303" s="4">
        <v>262</v>
      </c>
      <c r="D303" s="8">
        <v>1.62</v>
      </c>
      <c r="E303" s="4">
        <v>241</v>
      </c>
      <c r="F303" s="8">
        <v>4.42</v>
      </c>
      <c r="G303" s="4">
        <v>21</v>
      </c>
      <c r="H303" s="8">
        <v>0.2</v>
      </c>
      <c r="I303" s="4">
        <v>0</v>
      </c>
    </row>
    <row r="304" spans="1:9" x14ac:dyDescent="0.2">
      <c r="A304" s="2">
        <v>15</v>
      </c>
      <c r="B304" s="1" t="s">
        <v>165</v>
      </c>
      <c r="C304" s="4">
        <v>259</v>
      </c>
      <c r="D304" s="8">
        <v>1.6</v>
      </c>
      <c r="E304" s="4">
        <v>4</v>
      </c>
      <c r="F304" s="8">
        <v>7.0000000000000007E-2</v>
      </c>
      <c r="G304" s="4">
        <v>254</v>
      </c>
      <c r="H304" s="8">
        <v>2.37</v>
      </c>
      <c r="I304" s="4">
        <v>1</v>
      </c>
    </row>
    <row r="305" spans="1:9" x14ac:dyDescent="0.2">
      <c r="A305" s="2">
        <v>16</v>
      </c>
      <c r="B305" s="1" t="s">
        <v>199</v>
      </c>
      <c r="C305" s="4">
        <v>256</v>
      </c>
      <c r="D305" s="8">
        <v>1.58</v>
      </c>
      <c r="E305" s="4">
        <v>89</v>
      </c>
      <c r="F305" s="8">
        <v>1.63</v>
      </c>
      <c r="G305" s="4">
        <v>167</v>
      </c>
      <c r="H305" s="8">
        <v>1.56</v>
      </c>
      <c r="I305" s="4">
        <v>0</v>
      </c>
    </row>
    <row r="306" spans="1:9" x14ac:dyDescent="0.2">
      <c r="A306" s="2">
        <v>17</v>
      </c>
      <c r="B306" s="1" t="s">
        <v>197</v>
      </c>
      <c r="C306" s="4">
        <v>253</v>
      </c>
      <c r="D306" s="8">
        <v>1.56</v>
      </c>
      <c r="E306" s="4">
        <v>97</v>
      </c>
      <c r="F306" s="8">
        <v>1.78</v>
      </c>
      <c r="G306" s="4">
        <v>156</v>
      </c>
      <c r="H306" s="8">
        <v>1.46</v>
      </c>
      <c r="I306" s="4">
        <v>0</v>
      </c>
    </row>
    <row r="307" spans="1:9" x14ac:dyDescent="0.2">
      <c r="A307" s="2">
        <v>18</v>
      </c>
      <c r="B307" s="1" t="s">
        <v>158</v>
      </c>
      <c r="C307" s="4">
        <v>252</v>
      </c>
      <c r="D307" s="8">
        <v>1.56</v>
      </c>
      <c r="E307" s="4">
        <v>125</v>
      </c>
      <c r="F307" s="8">
        <v>2.29</v>
      </c>
      <c r="G307" s="4">
        <v>127</v>
      </c>
      <c r="H307" s="8">
        <v>1.19</v>
      </c>
      <c r="I307" s="4">
        <v>0</v>
      </c>
    </row>
    <row r="308" spans="1:9" x14ac:dyDescent="0.2">
      <c r="A308" s="2">
        <v>19</v>
      </c>
      <c r="B308" s="1" t="s">
        <v>176</v>
      </c>
      <c r="C308" s="4">
        <v>236</v>
      </c>
      <c r="D308" s="8">
        <v>1.46</v>
      </c>
      <c r="E308" s="4">
        <v>9</v>
      </c>
      <c r="F308" s="8">
        <v>0.16</v>
      </c>
      <c r="G308" s="4">
        <v>225</v>
      </c>
      <c r="H308" s="8">
        <v>2.1</v>
      </c>
      <c r="I308" s="4">
        <v>2</v>
      </c>
    </row>
    <row r="309" spans="1:9" x14ac:dyDescent="0.2">
      <c r="A309" s="2">
        <v>20</v>
      </c>
      <c r="B309" s="1" t="s">
        <v>187</v>
      </c>
      <c r="C309" s="4">
        <v>216</v>
      </c>
      <c r="D309" s="8">
        <v>1.34</v>
      </c>
      <c r="E309" s="4">
        <v>34</v>
      </c>
      <c r="F309" s="8">
        <v>0.62</v>
      </c>
      <c r="G309" s="4">
        <v>182</v>
      </c>
      <c r="H309" s="8">
        <v>1.7</v>
      </c>
      <c r="I309" s="4">
        <v>0</v>
      </c>
    </row>
    <row r="310" spans="1:9" x14ac:dyDescent="0.2">
      <c r="A310" s="1"/>
      <c r="C310" s="4"/>
      <c r="D310" s="8"/>
      <c r="E310" s="4"/>
      <c r="F310" s="8"/>
      <c r="G310" s="4"/>
      <c r="H310" s="8"/>
      <c r="I310" s="4"/>
    </row>
    <row r="311" spans="1:9" x14ac:dyDescent="0.2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2">
      <c r="A312" s="2">
        <v>1</v>
      </c>
      <c r="B312" s="1" t="s">
        <v>162</v>
      </c>
      <c r="C312" s="4">
        <v>695</v>
      </c>
      <c r="D312" s="8">
        <v>4.42</v>
      </c>
      <c r="E312" s="4">
        <v>91</v>
      </c>
      <c r="F312" s="8">
        <v>2.67</v>
      </c>
      <c r="G312" s="4">
        <v>604</v>
      </c>
      <c r="H312" s="8">
        <v>4.92</v>
      </c>
      <c r="I312" s="4">
        <v>0</v>
      </c>
    </row>
    <row r="313" spans="1:9" x14ac:dyDescent="0.2">
      <c r="A313" s="2">
        <v>2</v>
      </c>
      <c r="B313" s="1" t="s">
        <v>172</v>
      </c>
      <c r="C313" s="4">
        <v>637</v>
      </c>
      <c r="D313" s="8">
        <v>4.0599999999999996</v>
      </c>
      <c r="E313" s="4">
        <v>379</v>
      </c>
      <c r="F313" s="8">
        <v>11.11</v>
      </c>
      <c r="G313" s="4">
        <v>258</v>
      </c>
      <c r="H313" s="8">
        <v>2.1</v>
      </c>
      <c r="I313" s="4">
        <v>0</v>
      </c>
    </row>
    <row r="314" spans="1:9" x14ac:dyDescent="0.2">
      <c r="A314" s="2">
        <v>3</v>
      </c>
      <c r="B314" s="1" t="s">
        <v>168</v>
      </c>
      <c r="C314" s="4">
        <v>565</v>
      </c>
      <c r="D314" s="8">
        <v>3.6</v>
      </c>
      <c r="E314" s="4">
        <v>267</v>
      </c>
      <c r="F314" s="8">
        <v>7.83</v>
      </c>
      <c r="G314" s="4">
        <v>298</v>
      </c>
      <c r="H314" s="8">
        <v>2.4300000000000002</v>
      </c>
      <c r="I314" s="4">
        <v>0</v>
      </c>
    </row>
    <row r="315" spans="1:9" x14ac:dyDescent="0.2">
      <c r="A315" s="2">
        <v>4</v>
      </c>
      <c r="B315" s="1" t="s">
        <v>161</v>
      </c>
      <c r="C315" s="4">
        <v>525</v>
      </c>
      <c r="D315" s="8">
        <v>3.34</v>
      </c>
      <c r="E315" s="4">
        <v>69</v>
      </c>
      <c r="F315" s="8">
        <v>2.02</v>
      </c>
      <c r="G315" s="4">
        <v>456</v>
      </c>
      <c r="H315" s="8">
        <v>3.71</v>
      </c>
      <c r="I315" s="4">
        <v>0</v>
      </c>
    </row>
    <row r="316" spans="1:9" x14ac:dyDescent="0.2">
      <c r="A316" s="2">
        <v>5</v>
      </c>
      <c r="B316" s="1" t="s">
        <v>160</v>
      </c>
      <c r="C316" s="4">
        <v>449</v>
      </c>
      <c r="D316" s="8">
        <v>2.86</v>
      </c>
      <c r="E316" s="4">
        <v>18</v>
      </c>
      <c r="F316" s="8">
        <v>0.53</v>
      </c>
      <c r="G316" s="4">
        <v>431</v>
      </c>
      <c r="H316" s="8">
        <v>3.51</v>
      </c>
      <c r="I316" s="4">
        <v>0</v>
      </c>
    </row>
    <row r="317" spans="1:9" x14ac:dyDescent="0.2">
      <c r="A317" s="2">
        <v>5</v>
      </c>
      <c r="B317" s="1" t="s">
        <v>187</v>
      </c>
      <c r="C317" s="4">
        <v>449</v>
      </c>
      <c r="D317" s="8">
        <v>2.86</v>
      </c>
      <c r="E317" s="4">
        <v>64</v>
      </c>
      <c r="F317" s="8">
        <v>1.88</v>
      </c>
      <c r="G317" s="4">
        <v>385</v>
      </c>
      <c r="H317" s="8">
        <v>3.14</v>
      </c>
      <c r="I317" s="4">
        <v>0</v>
      </c>
    </row>
    <row r="318" spans="1:9" x14ac:dyDescent="0.2">
      <c r="A318" s="2">
        <v>7</v>
      </c>
      <c r="B318" s="1" t="s">
        <v>163</v>
      </c>
      <c r="C318" s="4">
        <v>445</v>
      </c>
      <c r="D318" s="8">
        <v>2.83</v>
      </c>
      <c r="E318" s="4">
        <v>8</v>
      </c>
      <c r="F318" s="8">
        <v>0.23</v>
      </c>
      <c r="G318" s="4">
        <v>432</v>
      </c>
      <c r="H318" s="8">
        <v>3.52</v>
      </c>
      <c r="I318" s="4">
        <v>5</v>
      </c>
    </row>
    <row r="319" spans="1:9" x14ac:dyDescent="0.2">
      <c r="A319" s="2">
        <v>8</v>
      </c>
      <c r="B319" s="1" t="s">
        <v>176</v>
      </c>
      <c r="C319" s="4">
        <v>420</v>
      </c>
      <c r="D319" s="8">
        <v>2.67</v>
      </c>
      <c r="E319" s="4">
        <v>15</v>
      </c>
      <c r="F319" s="8">
        <v>0.44</v>
      </c>
      <c r="G319" s="4">
        <v>402</v>
      </c>
      <c r="H319" s="8">
        <v>3.27</v>
      </c>
      <c r="I319" s="4">
        <v>3</v>
      </c>
    </row>
    <row r="320" spans="1:9" x14ac:dyDescent="0.2">
      <c r="A320" s="2">
        <v>9</v>
      </c>
      <c r="B320" s="1" t="s">
        <v>166</v>
      </c>
      <c r="C320" s="4">
        <v>398</v>
      </c>
      <c r="D320" s="8">
        <v>2.5299999999999998</v>
      </c>
      <c r="E320" s="4">
        <v>18</v>
      </c>
      <c r="F320" s="8">
        <v>0.53</v>
      </c>
      <c r="G320" s="4">
        <v>379</v>
      </c>
      <c r="H320" s="8">
        <v>3.09</v>
      </c>
      <c r="I320" s="4">
        <v>1</v>
      </c>
    </row>
    <row r="321" spans="1:9" x14ac:dyDescent="0.2">
      <c r="A321" s="2">
        <v>10</v>
      </c>
      <c r="B321" s="1" t="s">
        <v>199</v>
      </c>
      <c r="C321" s="4">
        <v>386</v>
      </c>
      <c r="D321" s="8">
        <v>2.46</v>
      </c>
      <c r="E321" s="4">
        <v>42</v>
      </c>
      <c r="F321" s="8">
        <v>1.23</v>
      </c>
      <c r="G321" s="4">
        <v>344</v>
      </c>
      <c r="H321" s="8">
        <v>2.8</v>
      </c>
      <c r="I321" s="4">
        <v>0</v>
      </c>
    </row>
    <row r="322" spans="1:9" x14ac:dyDescent="0.2">
      <c r="A322" s="2">
        <v>11</v>
      </c>
      <c r="B322" s="1" t="s">
        <v>167</v>
      </c>
      <c r="C322" s="4">
        <v>376</v>
      </c>
      <c r="D322" s="8">
        <v>2.39</v>
      </c>
      <c r="E322" s="4">
        <v>52</v>
      </c>
      <c r="F322" s="8">
        <v>1.52</v>
      </c>
      <c r="G322" s="4">
        <v>324</v>
      </c>
      <c r="H322" s="8">
        <v>2.64</v>
      </c>
      <c r="I322" s="4">
        <v>0</v>
      </c>
    </row>
    <row r="323" spans="1:9" x14ac:dyDescent="0.2">
      <c r="A323" s="2">
        <v>12</v>
      </c>
      <c r="B323" s="1" t="s">
        <v>165</v>
      </c>
      <c r="C323" s="4">
        <v>347</v>
      </c>
      <c r="D323" s="8">
        <v>2.21</v>
      </c>
      <c r="E323" s="4">
        <v>4</v>
      </c>
      <c r="F323" s="8">
        <v>0.12</v>
      </c>
      <c r="G323" s="4">
        <v>343</v>
      </c>
      <c r="H323" s="8">
        <v>2.79</v>
      </c>
      <c r="I323" s="4">
        <v>0</v>
      </c>
    </row>
    <row r="324" spans="1:9" x14ac:dyDescent="0.2">
      <c r="A324" s="2">
        <v>13</v>
      </c>
      <c r="B324" s="1" t="s">
        <v>159</v>
      </c>
      <c r="C324" s="4">
        <v>345</v>
      </c>
      <c r="D324" s="8">
        <v>2.2000000000000002</v>
      </c>
      <c r="E324" s="4">
        <v>103</v>
      </c>
      <c r="F324" s="8">
        <v>3.02</v>
      </c>
      <c r="G324" s="4">
        <v>241</v>
      </c>
      <c r="H324" s="8">
        <v>1.96</v>
      </c>
      <c r="I324" s="4">
        <v>1</v>
      </c>
    </row>
    <row r="325" spans="1:9" x14ac:dyDescent="0.2">
      <c r="A325" s="2">
        <v>14</v>
      </c>
      <c r="B325" s="1" t="s">
        <v>157</v>
      </c>
      <c r="C325" s="4">
        <v>318</v>
      </c>
      <c r="D325" s="8">
        <v>2.02</v>
      </c>
      <c r="E325" s="4">
        <v>2</v>
      </c>
      <c r="F325" s="8">
        <v>0.06</v>
      </c>
      <c r="G325" s="4">
        <v>316</v>
      </c>
      <c r="H325" s="8">
        <v>2.57</v>
      </c>
      <c r="I325" s="4">
        <v>0</v>
      </c>
    </row>
    <row r="326" spans="1:9" x14ac:dyDescent="0.2">
      <c r="A326" s="2">
        <v>15</v>
      </c>
      <c r="B326" s="1" t="s">
        <v>173</v>
      </c>
      <c r="C326" s="4">
        <v>310</v>
      </c>
      <c r="D326" s="8">
        <v>1.97</v>
      </c>
      <c r="E326" s="4">
        <v>133</v>
      </c>
      <c r="F326" s="8">
        <v>3.9</v>
      </c>
      <c r="G326" s="4">
        <v>177</v>
      </c>
      <c r="H326" s="8">
        <v>1.44</v>
      </c>
      <c r="I326" s="4">
        <v>0</v>
      </c>
    </row>
    <row r="327" spans="1:9" x14ac:dyDescent="0.2">
      <c r="A327" s="2">
        <v>16</v>
      </c>
      <c r="B327" s="1" t="s">
        <v>175</v>
      </c>
      <c r="C327" s="4">
        <v>299</v>
      </c>
      <c r="D327" s="8">
        <v>1.9</v>
      </c>
      <c r="E327" s="4">
        <v>204</v>
      </c>
      <c r="F327" s="8">
        <v>5.98</v>
      </c>
      <c r="G327" s="4">
        <v>95</v>
      </c>
      <c r="H327" s="8">
        <v>0.77</v>
      </c>
      <c r="I327" s="4">
        <v>0</v>
      </c>
    </row>
    <row r="328" spans="1:9" x14ac:dyDescent="0.2">
      <c r="A328" s="2">
        <v>17</v>
      </c>
      <c r="B328" s="1" t="s">
        <v>169</v>
      </c>
      <c r="C328" s="4">
        <v>296</v>
      </c>
      <c r="D328" s="8">
        <v>1.88</v>
      </c>
      <c r="E328" s="4">
        <v>156</v>
      </c>
      <c r="F328" s="8">
        <v>4.57</v>
      </c>
      <c r="G328" s="4">
        <v>140</v>
      </c>
      <c r="H328" s="8">
        <v>1.1399999999999999</v>
      </c>
      <c r="I328" s="4">
        <v>0</v>
      </c>
    </row>
    <row r="329" spans="1:9" x14ac:dyDescent="0.2">
      <c r="A329" s="2">
        <v>18</v>
      </c>
      <c r="B329" s="1" t="s">
        <v>203</v>
      </c>
      <c r="C329" s="4">
        <v>285</v>
      </c>
      <c r="D329" s="8">
        <v>1.81</v>
      </c>
      <c r="E329" s="4">
        <v>4</v>
      </c>
      <c r="F329" s="8">
        <v>0.12</v>
      </c>
      <c r="G329" s="4">
        <v>281</v>
      </c>
      <c r="H329" s="8">
        <v>2.29</v>
      </c>
      <c r="I329" s="4">
        <v>0</v>
      </c>
    </row>
    <row r="330" spans="1:9" x14ac:dyDescent="0.2">
      <c r="A330" s="2">
        <v>19</v>
      </c>
      <c r="B330" s="1" t="s">
        <v>164</v>
      </c>
      <c r="C330" s="4">
        <v>280</v>
      </c>
      <c r="D330" s="8">
        <v>1.78</v>
      </c>
      <c r="E330" s="4">
        <v>257</v>
      </c>
      <c r="F330" s="8">
        <v>7.53</v>
      </c>
      <c r="G330" s="4">
        <v>23</v>
      </c>
      <c r="H330" s="8">
        <v>0.19</v>
      </c>
      <c r="I330" s="4">
        <v>0</v>
      </c>
    </row>
    <row r="331" spans="1:9" x14ac:dyDescent="0.2">
      <c r="A331" s="2">
        <v>20</v>
      </c>
      <c r="B331" s="1" t="s">
        <v>170</v>
      </c>
      <c r="C331" s="4">
        <v>270</v>
      </c>
      <c r="D331" s="8">
        <v>1.72</v>
      </c>
      <c r="E331" s="4">
        <v>182</v>
      </c>
      <c r="F331" s="8">
        <v>5.34</v>
      </c>
      <c r="G331" s="4">
        <v>88</v>
      </c>
      <c r="H331" s="8">
        <v>0.72</v>
      </c>
      <c r="I331" s="4">
        <v>0</v>
      </c>
    </row>
    <row r="332" spans="1:9" x14ac:dyDescent="0.2">
      <c r="A332" s="1"/>
      <c r="C332" s="4"/>
      <c r="D332" s="8"/>
      <c r="E332" s="4"/>
      <c r="F332" s="8"/>
      <c r="G332" s="4"/>
      <c r="H332" s="8"/>
      <c r="I332" s="4"/>
    </row>
    <row r="333" spans="1:9" x14ac:dyDescent="0.2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2">
      <c r="A334" s="2">
        <v>1</v>
      </c>
      <c r="B334" s="1" t="s">
        <v>162</v>
      </c>
      <c r="C334" s="4">
        <v>952</v>
      </c>
      <c r="D334" s="8">
        <v>12.78</v>
      </c>
      <c r="E334" s="4">
        <v>500</v>
      </c>
      <c r="F334" s="8">
        <v>16.73</v>
      </c>
      <c r="G334" s="4">
        <v>452</v>
      </c>
      <c r="H334" s="8">
        <v>10.19</v>
      </c>
      <c r="I334" s="4">
        <v>0</v>
      </c>
    </row>
    <row r="335" spans="1:9" x14ac:dyDescent="0.2">
      <c r="A335" s="2">
        <v>2</v>
      </c>
      <c r="B335" s="1" t="s">
        <v>163</v>
      </c>
      <c r="C335" s="4">
        <v>287</v>
      </c>
      <c r="D335" s="8">
        <v>3.85</v>
      </c>
      <c r="E335" s="4">
        <v>11</v>
      </c>
      <c r="F335" s="8">
        <v>0.37</v>
      </c>
      <c r="G335" s="4">
        <v>276</v>
      </c>
      <c r="H335" s="8">
        <v>6.22</v>
      </c>
      <c r="I335" s="4">
        <v>0</v>
      </c>
    </row>
    <row r="336" spans="1:9" x14ac:dyDescent="0.2">
      <c r="A336" s="2">
        <v>3</v>
      </c>
      <c r="B336" s="1" t="s">
        <v>172</v>
      </c>
      <c r="C336" s="4">
        <v>276</v>
      </c>
      <c r="D336" s="8">
        <v>3.71</v>
      </c>
      <c r="E336" s="4">
        <v>208</v>
      </c>
      <c r="F336" s="8">
        <v>6.96</v>
      </c>
      <c r="G336" s="4">
        <v>68</v>
      </c>
      <c r="H336" s="8">
        <v>1.53</v>
      </c>
      <c r="I336" s="4">
        <v>0</v>
      </c>
    </row>
    <row r="337" spans="1:9" x14ac:dyDescent="0.2">
      <c r="A337" s="2">
        <v>4</v>
      </c>
      <c r="B337" s="1" t="s">
        <v>168</v>
      </c>
      <c r="C337" s="4">
        <v>274</v>
      </c>
      <c r="D337" s="8">
        <v>3.68</v>
      </c>
      <c r="E337" s="4">
        <v>194</v>
      </c>
      <c r="F337" s="8">
        <v>6.49</v>
      </c>
      <c r="G337" s="4">
        <v>80</v>
      </c>
      <c r="H337" s="8">
        <v>1.8</v>
      </c>
      <c r="I337" s="4">
        <v>0</v>
      </c>
    </row>
    <row r="338" spans="1:9" x14ac:dyDescent="0.2">
      <c r="A338" s="2">
        <v>5</v>
      </c>
      <c r="B338" s="1" t="s">
        <v>169</v>
      </c>
      <c r="C338" s="4">
        <v>233</v>
      </c>
      <c r="D338" s="8">
        <v>3.13</v>
      </c>
      <c r="E338" s="4">
        <v>185</v>
      </c>
      <c r="F338" s="8">
        <v>6.19</v>
      </c>
      <c r="G338" s="4">
        <v>48</v>
      </c>
      <c r="H338" s="8">
        <v>1.08</v>
      </c>
      <c r="I338" s="4">
        <v>0</v>
      </c>
    </row>
    <row r="339" spans="1:9" x14ac:dyDescent="0.2">
      <c r="A339" s="2">
        <v>6</v>
      </c>
      <c r="B339" s="1" t="s">
        <v>175</v>
      </c>
      <c r="C339" s="4">
        <v>192</v>
      </c>
      <c r="D339" s="8">
        <v>2.58</v>
      </c>
      <c r="E339" s="4">
        <v>145</v>
      </c>
      <c r="F339" s="8">
        <v>4.8499999999999996</v>
      </c>
      <c r="G339" s="4">
        <v>47</v>
      </c>
      <c r="H339" s="8">
        <v>1.06</v>
      </c>
      <c r="I339" s="4">
        <v>0</v>
      </c>
    </row>
    <row r="340" spans="1:9" x14ac:dyDescent="0.2">
      <c r="A340" s="2">
        <v>7</v>
      </c>
      <c r="B340" s="1" t="s">
        <v>159</v>
      </c>
      <c r="C340" s="4">
        <v>166</v>
      </c>
      <c r="D340" s="8">
        <v>2.23</v>
      </c>
      <c r="E340" s="4">
        <v>100</v>
      </c>
      <c r="F340" s="8">
        <v>3.35</v>
      </c>
      <c r="G340" s="4">
        <v>66</v>
      </c>
      <c r="H340" s="8">
        <v>1.49</v>
      </c>
      <c r="I340" s="4">
        <v>0</v>
      </c>
    </row>
    <row r="341" spans="1:9" x14ac:dyDescent="0.2">
      <c r="A341" s="2">
        <v>8</v>
      </c>
      <c r="B341" s="1" t="s">
        <v>173</v>
      </c>
      <c r="C341" s="4">
        <v>147</v>
      </c>
      <c r="D341" s="8">
        <v>1.97</v>
      </c>
      <c r="E341" s="4">
        <v>93</v>
      </c>
      <c r="F341" s="8">
        <v>3.11</v>
      </c>
      <c r="G341" s="4">
        <v>53</v>
      </c>
      <c r="H341" s="8">
        <v>1.19</v>
      </c>
      <c r="I341" s="4">
        <v>1</v>
      </c>
    </row>
    <row r="342" spans="1:9" x14ac:dyDescent="0.2">
      <c r="A342" s="2">
        <v>9</v>
      </c>
      <c r="B342" s="1" t="s">
        <v>160</v>
      </c>
      <c r="C342" s="4">
        <v>143</v>
      </c>
      <c r="D342" s="8">
        <v>1.92</v>
      </c>
      <c r="E342" s="4">
        <v>7</v>
      </c>
      <c r="F342" s="8">
        <v>0.23</v>
      </c>
      <c r="G342" s="4">
        <v>136</v>
      </c>
      <c r="H342" s="8">
        <v>3.07</v>
      </c>
      <c r="I342" s="4">
        <v>0</v>
      </c>
    </row>
    <row r="343" spans="1:9" x14ac:dyDescent="0.2">
      <c r="A343" s="2">
        <v>10</v>
      </c>
      <c r="B343" s="1" t="s">
        <v>167</v>
      </c>
      <c r="C343" s="4">
        <v>142</v>
      </c>
      <c r="D343" s="8">
        <v>1.91</v>
      </c>
      <c r="E343" s="4">
        <v>21</v>
      </c>
      <c r="F343" s="8">
        <v>0.7</v>
      </c>
      <c r="G343" s="4">
        <v>119</v>
      </c>
      <c r="H343" s="8">
        <v>2.68</v>
      </c>
      <c r="I343" s="4">
        <v>0</v>
      </c>
    </row>
    <row r="344" spans="1:9" x14ac:dyDescent="0.2">
      <c r="A344" s="2">
        <v>11</v>
      </c>
      <c r="B344" s="1" t="s">
        <v>171</v>
      </c>
      <c r="C344" s="4">
        <v>137</v>
      </c>
      <c r="D344" s="8">
        <v>1.84</v>
      </c>
      <c r="E344" s="4">
        <v>123</v>
      </c>
      <c r="F344" s="8">
        <v>4.12</v>
      </c>
      <c r="G344" s="4">
        <v>14</v>
      </c>
      <c r="H344" s="8">
        <v>0.32</v>
      </c>
      <c r="I344" s="4">
        <v>0</v>
      </c>
    </row>
    <row r="345" spans="1:9" x14ac:dyDescent="0.2">
      <c r="A345" s="2">
        <v>12</v>
      </c>
      <c r="B345" s="1" t="s">
        <v>197</v>
      </c>
      <c r="C345" s="4">
        <v>132</v>
      </c>
      <c r="D345" s="8">
        <v>1.77</v>
      </c>
      <c r="E345" s="4">
        <v>66</v>
      </c>
      <c r="F345" s="8">
        <v>2.21</v>
      </c>
      <c r="G345" s="4">
        <v>66</v>
      </c>
      <c r="H345" s="8">
        <v>1.49</v>
      </c>
      <c r="I345" s="4">
        <v>0</v>
      </c>
    </row>
    <row r="346" spans="1:9" x14ac:dyDescent="0.2">
      <c r="A346" s="2">
        <v>13</v>
      </c>
      <c r="B346" s="1" t="s">
        <v>161</v>
      </c>
      <c r="C346" s="4">
        <v>129</v>
      </c>
      <c r="D346" s="8">
        <v>1.73</v>
      </c>
      <c r="E346" s="4">
        <v>25</v>
      </c>
      <c r="F346" s="8">
        <v>0.84</v>
      </c>
      <c r="G346" s="4">
        <v>104</v>
      </c>
      <c r="H346" s="8">
        <v>2.34</v>
      </c>
      <c r="I346" s="4">
        <v>0</v>
      </c>
    </row>
    <row r="347" spans="1:9" x14ac:dyDescent="0.2">
      <c r="A347" s="2">
        <v>14</v>
      </c>
      <c r="B347" s="1" t="s">
        <v>166</v>
      </c>
      <c r="C347" s="4">
        <v>123</v>
      </c>
      <c r="D347" s="8">
        <v>1.65</v>
      </c>
      <c r="E347" s="4">
        <v>7</v>
      </c>
      <c r="F347" s="8">
        <v>0.23</v>
      </c>
      <c r="G347" s="4">
        <v>116</v>
      </c>
      <c r="H347" s="8">
        <v>2.61</v>
      </c>
      <c r="I347" s="4">
        <v>0</v>
      </c>
    </row>
    <row r="348" spans="1:9" x14ac:dyDescent="0.2">
      <c r="A348" s="2">
        <v>14</v>
      </c>
      <c r="B348" s="1" t="s">
        <v>170</v>
      </c>
      <c r="C348" s="4">
        <v>123</v>
      </c>
      <c r="D348" s="8">
        <v>1.65</v>
      </c>
      <c r="E348" s="4">
        <v>107</v>
      </c>
      <c r="F348" s="8">
        <v>3.58</v>
      </c>
      <c r="G348" s="4">
        <v>16</v>
      </c>
      <c r="H348" s="8">
        <v>0.36</v>
      </c>
      <c r="I348" s="4">
        <v>0</v>
      </c>
    </row>
    <row r="349" spans="1:9" x14ac:dyDescent="0.2">
      <c r="A349" s="2">
        <v>16</v>
      </c>
      <c r="B349" s="1" t="s">
        <v>174</v>
      </c>
      <c r="C349" s="4">
        <v>116</v>
      </c>
      <c r="D349" s="8">
        <v>1.56</v>
      </c>
      <c r="E349" s="4">
        <v>109</v>
      </c>
      <c r="F349" s="8">
        <v>3.65</v>
      </c>
      <c r="G349" s="4">
        <v>7</v>
      </c>
      <c r="H349" s="8">
        <v>0.16</v>
      </c>
      <c r="I349" s="4">
        <v>0</v>
      </c>
    </row>
    <row r="350" spans="1:9" x14ac:dyDescent="0.2">
      <c r="A350" s="2">
        <v>17</v>
      </c>
      <c r="B350" s="1" t="s">
        <v>158</v>
      </c>
      <c r="C350" s="4">
        <v>101</v>
      </c>
      <c r="D350" s="8">
        <v>1.36</v>
      </c>
      <c r="E350" s="4">
        <v>55</v>
      </c>
      <c r="F350" s="8">
        <v>1.84</v>
      </c>
      <c r="G350" s="4">
        <v>46</v>
      </c>
      <c r="H350" s="8">
        <v>1.04</v>
      </c>
      <c r="I350" s="4">
        <v>0</v>
      </c>
    </row>
    <row r="351" spans="1:9" x14ac:dyDescent="0.2">
      <c r="A351" s="2">
        <v>18</v>
      </c>
      <c r="B351" s="1" t="s">
        <v>200</v>
      </c>
      <c r="C351" s="4">
        <v>98</v>
      </c>
      <c r="D351" s="8">
        <v>1.32</v>
      </c>
      <c r="E351" s="4">
        <v>12</v>
      </c>
      <c r="F351" s="8">
        <v>0.4</v>
      </c>
      <c r="G351" s="4">
        <v>86</v>
      </c>
      <c r="H351" s="8">
        <v>1.94</v>
      </c>
      <c r="I351" s="4">
        <v>0</v>
      </c>
    </row>
    <row r="352" spans="1:9" x14ac:dyDescent="0.2">
      <c r="A352" s="2">
        <v>18</v>
      </c>
      <c r="B352" s="1" t="s">
        <v>157</v>
      </c>
      <c r="C352" s="4">
        <v>98</v>
      </c>
      <c r="D352" s="8">
        <v>1.32</v>
      </c>
      <c r="E352" s="4">
        <v>2</v>
      </c>
      <c r="F352" s="8">
        <v>7.0000000000000007E-2</v>
      </c>
      <c r="G352" s="4">
        <v>96</v>
      </c>
      <c r="H352" s="8">
        <v>2.16</v>
      </c>
      <c r="I352" s="4">
        <v>0</v>
      </c>
    </row>
    <row r="353" spans="1:9" x14ac:dyDescent="0.2">
      <c r="A353" s="2">
        <v>18</v>
      </c>
      <c r="B353" s="1" t="s">
        <v>164</v>
      </c>
      <c r="C353" s="4">
        <v>98</v>
      </c>
      <c r="D353" s="8">
        <v>1.32</v>
      </c>
      <c r="E353" s="4">
        <v>91</v>
      </c>
      <c r="F353" s="8">
        <v>3.05</v>
      </c>
      <c r="G353" s="4">
        <v>7</v>
      </c>
      <c r="H353" s="8">
        <v>0.16</v>
      </c>
      <c r="I353" s="4">
        <v>0</v>
      </c>
    </row>
    <row r="354" spans="1:9" x14ac:dyDescent="0.2">
      <c r="A354" s="1"/>
      <c r="C354" s="4"/>
      <c r="D354" s="8"/>
      <c r="E354" s="4"/>
      <c r="F354" s="8"/>
      <c r="G354" s="4"/>
      <c r="H354" s="8"/>
      <c r="I354" s="4"/>
    </row>
    <row r="355" spans="1:9" x14ac:dyDescent="0.2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2">
      <c r="A356" s="2">
        <v>1</v>
      </c>
      <c r="B356" s="1" t="s">
        <v>162</v>
      </c>
      <c r="C356" s="4">
        <v>1446</v>
      </c>
      <c r="D356" s="8">
        <v>11.87</v>
      </c>
      <c r="E356" s="4">
        <v>708</v>
      </c>
      <c r="F356" s="8">
        <v>13.8</v>
      </c>
      <c r="G356" s="4">
        <v>738</v>
      </c>
      <c r="H356" s="8">
        <v>10.5</v>
      </c>
      <c r="I356" s="4">
        <v>0</v>
      </c>
    </row>
    <row r="357" spans="1:9" x14ac:dyDescent="0.2">
      <c r="A357" s="2">
        <v>2</v>
      </c>
      <c r="B357" s="1" t="s">
        <v>168</v>
      </c>
      <c r="C357" s="4">
        <v>505</v>
      </c>
      <c r="D357" s="8">
        <v>4.1500000000000004</v>
      </c>
      <c r="E357" s="4">
        <v>375</v>
      </c>
      <c r="F357" s="8">
        <v>7.31</v>
      </c>
      <c r="G357" s="4">
        <v>130</v>
      </c>
      <c r="H357" s="8">
        <v>1.85</v>
      </c>
      <c r="I357" s="4">
        <v>0</v>
      </c>
    </row>
    <row r="358" spans="1:9" x14ac:dyDescent="0.2">
      <c r="A358" s="2">
        <v>3</v>
      </c>
      <c r="B358" s="1" t="s">
        <v>172</v>
      </c>
      <c r="C358" s="4">
        <v>453</v>
      </c>
      <c r="D358" s="8">
        <v>3.72</v>
      </c>
      <c r="E358" s="4">
        <v>325</v>
      </c>
      <c r="F358" s="8">
        <v>6.34</v>
      </c>
      <c r="G358" s="4">
        <v>128</v>
      </c>
      <c r="H358" s="8">
        <v>1.82</v>
      </c>
      <c r="I358" s="4">
        <v>0</v>
      </c>
    </row>
    <row r="359" spans="1:9" x14ac:dyDescent="0.2">
      <c r="A359" s="2">
        <v>4</v>
      </c>
      <c r="B359" s="1" t="s">
        <v>163</v>
      </c>
      <c r="C359" s="4">
        <v>413</v>
      </c>
      <c r="D359" s="8">
        <v>3.39</v>
      </c>
      <c r="E359" s="4">
        <v>15</v>
      </c>
      <c r="F359" s="8">
        <v>0.28999999999999998</v>
      </c>
      <c r="G359" s="4">
        <v>397</v>
      </c>
      <c r="H359" s="8">
        <v>5.65</v>
      </c>
      <c r="I359" s="4">
        <v>1</v>
      </c>
    </row>
    <row r="360" spans="1:9" x14ac:dyDescent="0.2">
      <c r="A360" s="2">
        <v>5</v>
      </c>
      <c r="B360" s="1" t="s">
        <v>169</v>
      </c>
      <c r="C360" s="4">
        <v>367</v>
      </c>
      <c r="D360" s="8">
        <v>3.01</v>
      </c>
      <c r="E360" s="4">
        <v>305</v>
      </c>
      <c r="F360" s="8">
        <v>5.95</v>
      </c>
      <c r="G360" s="4">
        <v>62</v>
      </c>
      <c r="H360" s="8">
        <v>0.88</v>
      </c>
      <c r="I360" s="4">
        <v>0</v>
      </c>
    </row>
    <row r="361" spans="1:9" x14ac:dyDescent="0.2">
      <c r="A361" s="2">
        <v>6</v>
      </c>
      <c r="B361" s="1" t="s">
        <v>175</v>
      </c>
      <c r="C361" s="4">
        <v>360</v>
      </c>
      <c r="D361" s="8">
        <v>2.96</v>
      </c>
      <c r="E361" s="4">
        <v>293</v>
      </c>
      <c r="F361" s="8">
        <v>5.71</v>
      </c>
      <c r="G361" s="4">
        <v>67</v>
      </c>
      <c r="H361" s="8">
        <v>0.95</v>
      </c>
      <c r="I361" s="4">
        <v>0</v>
      </c>
    </row>
    <row r="362" spans="1:9" x14ac:dyDescent="0.2">
      <c r="A362" s="2">
        <v>7</v>
      </c>
      <c r="B362" s="1" t="s">
        <v>159</v>
      </c>
      <c r="C362" s="4">
        <v>335</v>
      </c>
      <c r="D362" s="8">
        <v>2.75</v>
      </c>
      <c r="E362" s="4">
        <v>225</v>
      </c>
      <c r="F362" s="8">
        <v>4.3899999999999997</v>
      </c>
      <c r="G362" s="4">
        <v>110</v>
      </c>
      <c r="H362" s="8">
        <v>1.56</v>
      </c>
      <c r="I362" s="4">
        <v>0</v>
      </c>
    </row>
    <row r="363" spans="1:9" x14ac:dyDescent="0.2">
      <c r="A363" s="2">
        <v>8</v>
      </c>
      <c r="B363" s="1" t="s">
        <v>173</v>
      </c>
      <c r="C363" s="4">
        <v>331</v>
      </c>
      <c r="D363" s="8">
        <v>2.72</v>
      </c>
      <c r="E363" s="4">
        <v>230</v>
      </c>
      <c r="F363" s="8">
        <v>4.4800000000000004</v>
      </c>
      <c r="G363" s="4">
        <v>100</v>
      </c>
      <c r="H363" s="8">
        <v>1.42</v>
      </c>
      <c r="I363" s="4">
        <v>1</v>
      </c>
    </row>
    <row r="364" spans="1:9" x14ac:dyDescent="0.2">
      <c r="A364" s="2">
        <v>9</v>
      </c>
      <c r="B364" s="1" t="s">
        <v>170</v>
      </c>
      <c r="C364" s="4">
        <v>261</v>
      </c>
      <c r="D364" s="8">
        <v>2.14</v>
      </c>
      <c r="E364" s="4">
        <v>218</v>
      </c>
      <c r="F364" s="8">
        <v>4.25</v>
      </c>
      <c r="G364" s="4">
        <v>43</v>
      </c>
      <c r="H364" s="8">
        <v>0.61</v>
      </c>
      <c r="I364" s="4">
        <v>0</v>
      </c>
    </row>
    <row r="365" spans="1:9" x14ac:dyDescent="0.2">
      <c r="A365" s="2">
        <v>10</v>
      </c>
      <c r="B365" s="1" t="s">
        <v>160</v>
      </c>
      <c r="C365" s="4">
        <v>259</v>
      </c>
      <c r="D365" s="8">
        <v>2.13</v>
      </c>
      <c r="E365" s="4">
        <v>30</v>
      </c>
      <c r="F365" s="8">
        <v>0.57999999999999996</v>
      </c>
      <c r="G365" s="4">
        <v>229</v>
      </c>
      <c r="H365" s="8">
        <v>3.26</v>
      </c>
      <c r="I365" s="4">
        <v>0</v>
      </c>
    </row>
    <row r="366" spans="1:9" x14ac:dyDescent="0.2">
      <c r="A366" s="2">
        <v>11</v>
      </c>
      <c r="B366" s="1" t="s">
        <v>166</v>
      </c>
      <c r="C366" s="4">
        <v>247</v>
      </c>
      <c r="D366" s="8">
        <v>2.0299999999999998</v>
      </c>
      <c r="E366" s="4">
        <v>12</v>
      </c>
      <c r="F366" s="8">
        <v>0.23</v>
      </c>
      <c r="G366" s="4">
        <v>235</v>
      </c>
      <c r="H366" s="8">
        <v>3.34</v>
      </c>
      <c r="I366" s="4">
        <v>0</v>
      </c>
    </row>
    <row r="367" spans="1:9" x14ac:dyDescent="0.2">
      <c r="A367" s="2">
        <v>12</v>
      </c>
      <c r="B367" s="1" t="s">
        <v>161</v>
      </c>
      <c r="C367" s="4">
        <v>236</v>
      </c>
      <c r="D367" s="8">
        <v>1.94</v>
      </c>
      <c r="E367" s="4">
        <v>38</v>
      </c>
      <c r="F367" s="8">
        <v>0.74</v>
      </c>
      <c r="G367" s="4">
        <v>197</v>
      </c>
      <c r="H367" s="8">
        <v>2.8</v>
      </c>
      <c r="I367" s="4">
        <v>1</v>
      </c>
    </row>
    <row r="368" spans="1:9" x14ac:dyDescent="0.2">
      <c r="A368" s="2">
        <v>13</v>
      </c>
      <c r="B368" s="1" t="s">
        <v>171</v>
      </c>
      <c r="C368" s="4">
        <v>220</v>
      </c>
      <c r="D368" s="8">
        <v>1.81</v>
      </c>
      <c r="E368" s="4">
        <v>197</v>
      </c>
      <c r="F368" s="8">
        <v>3.84</v>
      </c>
      <c r="G368" s="4">
        <v>23</v>
      </c>
      <c r="H368" s="8">
        <v>0.33</v>
      </c>
      <c r="I368" s="4">
        <v>0</v>
      </c>
    </row>
    <row r="369" spans="1:9" x14ac:dyDescent="0.2">
      <c r="A369" s="2">
        <v>14</v>
      </c>
      <c r="B369" s="1" t="s">
        <v>174</v>
      </c>
      <c r="C369" s="4">
        <v>194</v>
      </c>
      <c r="D369" s="8">
        <v>1.59</v>
      </c>
      <c r="E369" s="4">
        <v>170</v>
      </c>
      <c r="F369" s="8">
        <v>3.31</v>
      </c>
      <c r="G369" s="4">
        <v>24</v>
      </c>
      <c r="H369" s="8">
        <v>0.34</v>
      </c>
      <c r="I369" s="4">
        <v>0</v>
      </c>
    </row>
    <row r="370" spans="1:9" x14ac:dyDescent="0.2">
      <c r="A370" s="2">
        <v>15</v>
      </c>
      <c r="B370" s="1" t="s">
        <v>197</v>
      </c>
      <c r="C370" s="4">
        <v>191</v>
      </c>
      <c r="D370" s="8">
        <v>1.57</v>
      </c>
      <c r="E370" s="4">
        <v>74</v>
      </c>
      <c r="F370" s="8">
        <v>1.44</v>
      </c>
      <c r="G370" s="4">
        <v>117</v>
      </c>
      <c r="H370" s="8">
        <v>1.66</v>
      </c>
      <c r="I370" s="4">
        <v>0</v>
      </c>
    </row>
    <row r="371" spans="1:9" x14ac:dyDescent="0.2">
      <c r="A371" s="2">
        <v>16</v>
      </c>
      <c r="B371" s="1" t="s">
        <v>191</v>
      </c>
      <c r="C371" s="4">
        <v>190</v>
      </c>
      <c r="D371" s="8">
        <v>1.56</v>
      </c>
      <c r="E371" s="4">
        <v>165</v>
      </c>
      <c r="F371" s="8">
        <v>3.22</v>
      </c>
      <c r="G371" s="4">
        <v>24</v>
      </c>
      <c r="H371" s="8">
        <v>0.34</v>
      </c>
      <c r="I371" s="4">
        <v>1</v>
      </c>
    </row>
    <row r="372" spans="1:9" x14ac:dyDescent="0.2">
      <c r="A372" s="2">
        <v>17</v>
      </c>
      <c r="B372" s="1" t="s">
        <v>167</v>
      </c>
      <c r="C372" s="4">
        <v>183</v>
      </c>
      <c r="D372" s="8">
        <v>1.5</v>
      </c>
      <c r="E372" s="4">
        <v>36</v>
      </c>
      <c r="F372" s="8">
        <v>0.7</v>
      </c>
      <c r="G372" s="4">
        <v>146</v>
      </c>
      <c r="H372" s="8">
        <v>2.08</v>
      </c>
      <c r="I372" s="4">
        <v>0</v>
      </c>
    </row>
    <row r="373" spans="1:9" x14ac:dyDescent="0.2">
      <c r="A373" s="2">
        <v>18</v>
      </c>
      <c r="B373" s="1" t="s">
        <v>164</v>
      </c>
      <c r="C373" s="4">
        <v>182</v>
      </c>
      <c r="D373" s="8">
        <v>1.49</v>
      </c>
      <c r="E373" s="4">
        <v>176</v>
      </c>
      <c r="F373" s="8">
        <v>3.43</v>
      </c>
      <c r="G373" s="4">
        <v>6</v>
      </c>
      <c r="H373" s="8">
        <v>0.09</v>
      </c>
      <c r="I373" s="4">
        <v>0</v>
      </c>
    </row>
    <row r="374" spans="1:9" x14ac:dyDescent="0.2">
      <c r="A374" s="2">
        <v>19</v>
      </c>
      <c r="B374" s="1" t="s">
        <v>158</v>
      </c>
      <c r="C374" s="4">
        <v>164</v>
      </c>
      <c r="D374" s="8">
        <v>1.35</v>
      </c>
      <c r="E374" s="4">
        <v>87</v>
      </c>
      <c r="F374" s="8">
        <v>1.7</v>
      </c>
      <c r="G374" s="4">
        <v>77</v>
      </c>
      <c r="H374" s="8">
        <v>1.1000000000000001</v>
      </c>
      <c r="I374" s="4">
        <v>0</v>
      </c>
    </row>
    <row r="375" spans="1:9" x14ac:dyDescent="0.2">
      <c r="A375" s="2">
        <v>20</v>
      </c>
      <c r="B375" s="1" t="s">
        <v>199</v>
      </c>
      <c r="C375" s="4">
        <v>151</v>
      </c>
      <c r="D375" s="8">
        <v>1.24</v>
      </c>
      <c r="E375" s="4">
        <v>71</v>
      </c>
      <c r="F375" s="8">
        <v>1.38</v>
      </c>
      <c r="G375" s="4">
        <v>80</v>
      </c>
      <c r="H375" s="8">
        <v>1.1399999999999999</v>
      </c>
      <c r="I375" s="4">
        <v>0</v>
      </c>
    </row>
    <row r="376" spans="1:9" x14ac:dyDescent="0.2">
      <c r="A376" s="1"/>
      <c r="C376" s="4"/>
      <c r="D376" s="8"/>
      <c r="E376" s="4"/>
      <c r="F376" s="8"/>
      <c r="G376" s="4"/>
      <c r="H376" s="8"/>
      <c r="I376" s="4"/>
    </row>
    <row r="377" spans="1:9" x14ac:dyDescent="0.2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2">
      <c r="A378" s="2">
        <v>1</v>
      </c>
      <c r="B378" s="1" t="s">
        <v>162</v>
      </c>
      <c r="C378" s="4">
        <v>671</v>
      </c>
      <c r="D378" s="8">
        <v>6.81</v>
      </c>
      <c r="E378" s="4">
        <v>205</v>
      </c>
      <c r="F378" s="8">
        <v>6.53</v>
      </c>
      <c r="G378" s="4">
        <v>466</v>
      </c>
      <c r="H378" s="8">
        <v>6.97</v>
      </c>
      <c r="I378" s="4">
        <v>0</v>
      </c>
    </row>
    <row r="379" spans="1:9" x14ac:dyDescent="0.2">
      <c r="A379" s="2">
        <v>2</v>
      </c>
      <c r="B379" s="1" t="s">
        <v>168</v>
      </c>
      <c r="C379" s="4">
        <v>336</v>
      </c>
      <c r="D379" s="8">
        <v>3.41</v>
      </c>
      <c r="E379" s="4">
        <v>195</v>
      </c>
      <c r="F379" s="8">
        <v>6.21</v>
      </c>
      <c r="G379" s="4">
        <v>141</v>
      </c>
      <c r="H379" s="8">
        <v>2.11</v>
      </c>
      <c r="I379" s="4">
        <v>0</v>
      </c>
    </row>
    <row r="380" spans="1:9" x14ac:dyDescent="0.2">
      <c r="A380" s="2">
        <v>3</v>
      </c>
      <c r="B380" s="1" t="s">
        <v>161</v>
      </c>
      <c r="C380" s="4">
        <v>299</v>
      </c>
      <c r="D380" s="8">
        <v>3.04</v>
      </c>
      <c r="E380" s="4">
        <v>56</v>
      </c>
      <c r="F380" s="8">
        <v>1.78</v>
      </c>
      <c r="G380" s="4">
        <v>243</v>
      </c>
      <c r="H380" s="8">
        <v>3.63</v>
      </c>
      <c r="I380" s="4">
        <v>0</v>
      </c>
    </row>
    <row r="381" spans="1:9" x14ac:dyDescent="0.2">
      <c r="A381" s="2">
        <v>4</v>
      </c>
      <c r="B381" s="1" t="s">
        <v>164</v>
      </c>
      <c r="C381" s="4">
        <v>293</v>
      </c>
      <c r="D381" s="8">
        <v>2.98</v>
      </c>
      <c r="E381" s="4">
        <v>278</v>
      </c>
      <c r="F381" s="8">
        <v>8.86</v>
      </c>
      <c r="G381" s="4">
        <v>15</v>
      </c>
      <c r="H381" s="8">
        <v>0.22</v>
      </c>
      <c r="I381" s="4">
        <v>0</v>
      </c>
    </row>
    <row r="382" spans="1:9" x14ac:dyDescent="0.2">
      <c r="A382" s="2">
        <v>5</v>
      </c>
      <c r="B382" s="1" t="s">
        <v>175</v>
      </c>
      <c r="C382" s="4">
        <v>273</v>
      </c>
      <c r="D382" s="8">
        <v>2.77</v>
      </c>
      <c r="E382" s="4">
        <v>212</v>
      </c>
      <c r="F382" s="8">
        <v>6.76</v>
      </c>
      <c r="G382" s="4">
        <v>61</v>
      </c>
      <c r="H382" s="8">
        <v>0.91</v>
      </c>
      <c r="I382" s="4">
        <v>0</v>
      </c>
    </row>
    <row r="383" spans="1:9" x14ac:dyDescent="0.2">
      <c r="A383" s="2">
        <v>6</v>
      </c>
      <c r="B383" s="1" t="s">
        <v>160</v>
      </c>
      <c r="C383" s="4">
        <v>271</v>
      </c>
      <c r="D383" s="8">
        <v>2.75</v>
      </c>
      <c r="E383" s="4">
        <v>21</v>
      </c>
      <c r="F383" s="8">
        <v>0.67</v>
      </c>
      <c r="G383" s="4">
        <v>250</v>
      </c>
      <c r="H383" s="8">
        <v>3.74</v>
      </c>
      <c r="I383" s="4">
        <v>0</v>
      </c>
    </row>
    <row r="384" spans="1:9" x14ac:dyDescent="0.2">
      <c r="A384" s="2">
        <v>7</v>
      </c>
      <c r="B384" s="1" t="s">
        <v>172</v>
      </c>
      <c r="C384" s="4">
        <v>255</v>
      </c>
      <c r="D384" s="8">
        <v>2.59</v>
      </c>
      <c r="E384" s="4">
        <v>188</v>
      </c>
      <c r="F384" s="8">
        <v>5.99</v>
      </c>
      <c r="G384" s="4">
        <v>67</v>
      </c>
      <c r="H384" s="8">
        <v>1</v>
      </c>
      <c r="I384" s="4">
        <v>0</v>
      </c>
    </row>
    <row r="385" spans="1:9" x14ac:dyDescent="0.2">
      <c r="A385" s="2">
        <v>8</v>
      </c>
      <c r="B385" s="1" t="s">
        <v>169</v>
      </c>
      <c r="C385" s="4">
        <v>234</v>
      </c>
      <c r="D385" s="8">
        <v>2.38</v>
      </c>
      <c r="E385" s="4">
        <v>172</v>
      </c>
      <c r="F385" s="8">
        <v>5.48</v>
      </c>
      <c r="G385" s="4">
        <v>62</v>
      </c>
      <c r="H385" s="8">
        <v>0.93</v>
      </c>
      <c r="I385" s="4">
        <v>0</v>
      </c>
    </row>
    <row r="386" spans="1:9" x14ac:dyDescent="0.2">
      <c r="A386" s="2">
        <v>9</v>
      </c>
      <c r="B386" s="1" t="s">
        <v>163</v>
      </c>
      <c r="C386" s="4">
        <v>229</v>
      </c>
      <c r="D386" s="8">
        <v>2.33</v>
      </c>
      <c r="E386" s="4">
        <v>11</v>
      </c>
      <c r="F386" s="8">
        <v>0.35</v>
      </c>
      <c r="G386" s="4">
        <v>216</v>
      </c>
      <c r="H386" s="8">
        <v>3.23</v>
      </c>
      <c r="I386" s="4">
        <v>2</v>
      </c>
    </row>
    <row r="387" spans="1:9" x14ac:dyDescent="0.2">
      <c r="A387" s="2">
        <v>10</v>
      </c>
      <c r="B387" s="1" t="s">
        <v>173</v>
      </c>
      <c r="C387" s="4">
        <v>205</v>
      </c>
      <c r="D387" s="8">
        <v>2.08</v>
      </c>
      <c r="E387" s="4">
        <v>106</v>
      </c>
      <c r="F387" s="8">
        <v>3.38</v>
      </c>
      <c r="G387" s="4">
        <v>98</v>
      </c>
      <c r="H387" s="8">
        <v>1.47</v>
      </c>
      <c r="I387" s="4">
        <v>1</v>
      </c>
    </row>
    <row r="388" spans="1:9" x14ac:dyDescent="0.2">
      <c r="A388" s="2">
        <v>11</v>
      </c>
      <c r="B388" s="1" t="s">
        <v>167</v>
      </c>
      <c r="C388" s="4">
        <v>203</v>
      </c>
      <c r="D388" s="8">
        <v>2.06</v>
      </c>
      <c r="E388" s="4">
        <v>34</v>
      </c>
      <c r="F388" s="8">
        <v>1.08</v>
      </c>
      <c r="G388" s="4">
        <v>168</v>
      </c>
      <c r="H388" s="8">
        <v>2.5099999999999998</v>
      </c>
      <c r="I388" s="4">
        <v>0</v>
      </c>
    </row>
    <row r="389" spans="1:9" x14ac:dyDescent="0.2">
      <c r="A389" s="2">
        <v>12</v>
      </c>
      <c r="B389" s="1" t="s">
        <v>159</v>
      </c>
      <c r="C389" s="4">
        <v>192</v>
      </c>
      <c r="D389" s="8">
        <v>1.95</v>
      </c>
      <c r="E389" s="4">
        <v>94</v>
      </c>
      <c r="F389" s="8">
        <v>3</v>
      </c>
      <c r="G389" s="4">
        <v>98</v>
      </c>
      <c r="H389" s="8">
        <v>1.47</v>
      </c>
      <c r="I389" s="4">
        <v>0</v>
      </c>
    </row>
    <row r="390" spans="1:9" x14ac:dyDescent="0.2">
      <c r="A390" s="2">
        <v>13</v>
      </c>
      <c r="B390" s="1" t="s">
        <v>166</v>
      </c>
      <c r="C390" s="4">
        <v>189</v>
      </c>
      <c r="D390" s="8">
        <v>1.92</v>
      </c>
      <c r="E390" s="4">
        <v>9</v>
      </c>
      <c r="F390" s="8">
        <v>0.28999999999999998</v>
      </c>
      <c r="G390" s="4">
        <v>177</v>
      </c>
      <c r="H390" s="8">
        <v>2.65</v>
      </c>
      <c r="I390" s="4">
        <v>3</v>
      </c>
    </row>
    <row r="391" spans="1:9" x14ac:dyDescent="0.2">
      <c r="A391" s="2">
        <v>14</v>
      </c>
      <c r="B391" s="1" t="s">
        <v>199</v>
      </c>
      <c r="C391" s="4">
        <v>180</v>
      </c>
      <c r="D391" s="8">
        <v>1.83</v>
      </c>
      <c r="E391" s="4">
        <v>28</v>
      </c>
      <c r="F391" s="8">
        <v>0.89</v>
      </c>
      <c r="G391" s="4">
        <v>152</v>
      </c>
      <c r="H391" s="8">
        <v>2.27</v>
      </c>
      <c r="I391" s="4">
        <v>0</v>
      </c>
    </row>
    <row r="392" spans="1:9" x14ac:dyDescent="0.2">
      <c r="A392" s="2">
        <v>15</v>
      </c>
      <c r="B392" s="1" t="s">
        <v>157</v>
      </c>
      <c r="C392" s="4">
        <v>177</v>
      </c>
      <c r="D392" s="8">
        <v>1.8</v>
      </c>
      <c r="E392" s="4">
        <v>1</v>
      </c>
      <c r="F392" s="8">
        <v>0.03</v>
      </c>
      <c r="G392" s="4">
        <v>176</v>
      </c>
      <c r="H392" s="8">
        <v>2.63</v>
      </c>
      <c r="I392" s="4">
        <v>0</v>
      </c>
    </row>
    <row r="393" spans="1:9" x14ac:dyDescent="0.2">
      <c r="A393" s="2">
        <v>15</v>
      </c>
      <c r="B393" s="1" t="s">
        <v>170</v>
      </c>
      <c r="C393" s="4">
        <v>177</v>
      </c>
      <c r="D393" s="8">
        <v>1.8</v>
      </c>
      <c r="E393" s="4">
        <v>144</v>
      </c>
      <c r="F393" s="8">
        <v>4.59</v>
      </c>
      <c r="G393" s="4">
        <v>33</v>
      </c>
      <c r="H393" s="8">
        <v>0.49</v>
      </c>
      <c r="I393" s="4">
        <v>0</v>
      </c>
    </row>
    <row r="394" spans="1:9" x14ac:dyDescent="0.2">
      <c r="A394" s="2">
        <v>17</v>
      </c>
      <c r="B394" s="1" t="s">
        <v>165</v>
      </c>
      <c r="C394" s="4">
        <v>155</v>
      </c>
      <c r="D394" s="8">
        <v>1.57</v>
      </c>
      <c r="E394" s="4">
        <v>7</v>
      </c>
      <c r="F394" s="8">
        <v>0.22</v>
      </c>
      <c r="G394" s="4">
        <v>147</v>
      </c>
      <c r="H394" s="8">
        <v>2.2000000000000002</v>
      </c>
      <c r="I394" s="4">
        <v>1</v>
      </c>
    </row>
    <row r="395" spans="1:9" x14ac:dyDescent="0.2">
      <c r="A395" s="2">
        <v>18</v>
      </c>
      <c r="B395" s="1" t="s">
        <v>176</v>
      </c>
      <c r="C395" s="4">
        <v>147</v>
      </c>
      <c r="D395" s="8">
        <v>1.49</v>
      </c>
      <c r="E395" s="4">
        <v>7</v>
      </c>
      <c r="F395" s="8">
        <v>0.22</v>
      </c>
      <c r="G395" s="4">
        <v>136</v>
      </c>
      <c r="H395" s="8">
        <v>2.0299999999999998</v>
      </c>
      <c r="I395" s="4">
        <v>4</v>
      </c>
    </row>
    <row r="396" spans="1:9" x14ac:dyDescent="0.2">
      <c r="A396" s="2">
        <v>19</v>
      </c>
      <c r="B396" s="1" t="s">
        <v>171</v>
      </c>
      <c r="C396" s="4">
        <v>143</v>
      </c>
      <c r="D396" s="8">
        <v>1.45</v>
      </c>
      <c r="E396" s="4">
        <v>129</v>
      </c>
      <c r="F396" s="8">
        <v>4.1100000000000003</v>
      </c>
      <c r="G396" s="4">
        <v>14</v>
      </c>
      <c r="H396" s="8">
        <v>0.21</v>
      </c>
      <c r="I396" s="4">
        <v>0</v>
      </c>
    </row>
    <row r="397" spans="1:9" x14ac:dyDescent="0.2">
      <c r="A397" s="2">
        <v>20</v>
      </c>
      <c r="B397" s="1" t="s">
        <v>174</v>
      </c>
      <c r="C397" s="4">
        <v>141</v>
      </c>
      <c r="D397" s="8">
        <v>1.43</v>
      </c>
      <c r="E397" s="4">
        <v>129</v>
      </c>
      <c r="F397" s="8">
        <v>4.1100000000000003</v>
      </c>
      <c r="G397" s="4">
        <v>12</v>
      </c>
      <c r="H397" s="8">
        <v>0.18</v>
      </c>
      <c r="I397" s="4">
        <v>0</v>
      </c>
    </row>
    <row r="398" spans="1:9" x14ac:dyDescent="0.2">
      <c r="A398" s="1"/>
      <c r="C398" s="4"/>
      <c r="D398" s="8"/>
      <c r="E398" s="4"/>
      <c r="F398" s="8"/>
      <c r="G398" s="4"/>
      <c r="H398" s="8"/>
      <c r="I398" s="4"/>
    </row>
    <row r="399" spans="1:9" x14ac:dyDescent="0.2">
      <c r="A399" s="1" t="s">
        <v>18</v>
      </c>
      <c r="C399" s="4"/>
      <c r="D399" s="8"/>
      <c r="E399" s="4"/>
      <c r="F399" s="8"/>
      <c r="G399" s="4"/>
      <c r="H399" s="8"/>
      <c r="I399" s="4"/>
    </row>
    <row r="400" spans="1:9" x14ac:dyDescent="0.2">
      <c r="A400" s="2">
        <v>1</v>
      </c>
      <c r="B400" s="1" t="s">
        <v>162</v>
      </c>
      <c r="C400" s="4">
        <v>680</v>
      </c>
      <c r="D400" s="8">
        <v>9.5500000000000007</v>
      </c>
      <c r="E400" s="4">
        <v>374</v>
      </c>
      <c r="F400" s="8">
        <v>12.34</v>
      </c>
      <c r="G400" s="4">
        <v>306</v>
      </c>
      <c r="H400" s="8">
        <v>7.5</v>
      </c>
      <c r="I400" s="4">
        <v>0</v>
      </c>
    </row>
    <row r="401" spans="1:9" x14ac:dyDescent="0.2">
      <c r="A401" s="2">
        <v>2</v>
      </c>
      <c r="B401" s="1" t="s">
        <v>172</v>
      </c>
      <c r="C401" s="4">
        <v>256</v>
      </c>
      <c r="D401" s="8">
        <v>3.59</v>
      </c>
      <c r="E401" s="4">
        <v>199</v>
      </c>
      <c r="F401" s="8">
        <v>6.56</v>
      </c>
      <c r="G401" s="4">
        <v>57</v>
      </c>
      <c r="H401" s="8">
        <v>1.4</v>
      </c>
      <c r="I401" s="4">
        <v>0</v>
      </c>
    </row>
    <row r="402" spans="1:9" x14ac:dyDescent="0.2">
      <c r="A402" s="2">
        <v>3</v>
      </c>
      <c r="B402" s="1" t="s">
        <v>168</v>
      </c>
      <c r="C402" s="4">
        <v>240</v>
      </c>
      <c r="D402" s="8">
        <v>3.37</v>
      </c>
      <c r="E402" s="4">
        <v>180</v>
      </c>
      <c r="F402" s="8">
        <v>5.94</v>
      </c>
      <c r="G402" s="4">
        <v>60</v>
      </c>
      <c r="H402" s="8">
        <v>1.47</v>
      </c>
      <c r="I402" s="4">
        <v>0</v>
      </c>
    </row>
    <row r="403" spans="1:9" x14ac:dyDescent="0.2">
      <c r="A403" s="2">
        <v>4</v>
      </c>
      <c r="B403" s="1" t="s">
        <v>169</v>
      </c>
      <c r="C403" s="4">
        <v>236</v>
      </c>
      <c r="D403" s="8">
        <v>3.31</v>
      </c>
      <c r="E403" s="4">
        <v>196</v>
      </c>
      <c r="F403" s="8">
        <v>6.46</v>
      </c>
      <c r="G403" s="4">
        <v>40</v>
      </c>
      <c r="H403" s="8">
        <v>0.98</v>
      </c>
      <c r="I403" s="4">
        <v>0</v>
      </c>
    </row>
    <row r="404" spans="1:9" x14ac:dyDescent="0.2">
      <c r="A404" s="2">
        <v>5</v>
      </c>
      <c r="B404" s="1" t="s">
        <v>175</v>
      </c>
      <c r="C404" s="4">
        <v>181</v>
      </c>
      <c r="D404" s="8">
        <v>2.54</v>
      </c>
      <c r="E404" s="4">
        <v>144</v>
      </c>
      <c r="F404" s="8">
        <v>4.75</v>
      </c>
      <c r="G404" s="4">
        <v>37</v>
      </c>
      <c r="H404" s="8">
        <v>0.91</v>
      </c>
      <c r="I404" s="4">
        <v>0</v>
      </c>
    </row>
    <row r="405" spans="1:9" x14ac:dyDescent="0.2">
      <c r="A405" s="2">
        <v>6</v>
      </c>
      <c r="B405" s="1" t="s">
        <v>163</v>
      </c>
      <c r="C405" s="4">
        <v>178</v>
      </c>
      <c r="D405" s="8">
        <v>2.5</v>
      </c>
      <c r="E405" s="4">
        <v>8</v>
      </c>
      <c r="F405" s="8">
        <v>0.26</v>
      </c>
      <c r="G405" s="4">
        <v>169</v>
      </c>
      <c r="H405" s="8">
        <v>4.1399999999999997</v>
      </c>
      <c r="I405" s="4">
        <v>1</v>
      </c>
    </row>
    <row r="406" spans="1:9" x14ac:dyDescent="0.2">
      <c r="A406" s="2">
        <v>7</v>
      </c>
      <c r="B406" s="1" t="s">
        <v>171</v>
      </c>
      <c r="C406" s="4">
        <v>156</v>
      </c>
      <c r="D406" s="8">
        <v>2.19</v>
      </c>
      <c r="E406" s="4">
        <v>140</v>
      </c>
      <c r="F406" s="8">
        <v>4.62</v>
      </c>
      <c r="G406" s="4">
        <v>16</v>
      </c>
      <c r="H406" s="8">
        <v>0.39</v>
      </c>
      <c r="I406" s="4">
        <v>0</v>
      </c>
    </row>
    <row r="407" spans="1:9" x14ac:dyDescent="0.2">
      <c r="A407" s="2">
        <v>8</v>
      </c>
      <c r="B407" s="1" t="s">
        <v>158</v>
      </c>
      <c r="C407" s="4">
        <v>144</v>
      </c>
      <c r="D407" s="8">
        <v>2.02</v>
      </c>
      <c r="E407" s="4">
        <v>95</v>
      </c>
      <c r="F407" s="8">
        <v>3.13</v>
      </c>
      <c r="G407" s="4">
        <v>49</v>
      </c>
      <c r="H407" s="8">
        <v>1.2</v>
      </c>
      <c r="I407" s="4">
        <v>0</v>
      </c>
    </row>
    <row r="408" spans="1:9" x14ac:dyDescent="0.2">
      <c r="A408" s="2">
        <v>9</v>
      </c>
      <c r="B408" s="1" t="s">
        <v>159</v>
      </c>
      <c r="C408" s="4">
        <v>124</v>
      </c>
      <c r="D408" s="8">
        <v>1.74</v>
      </c>
      <c r="E408" s="4">
        <v>77</v>
      </c>
      <c r="F408" s="8">
        <v>2.54</v>
      </c>
      <c r="G408" s="4">
        <v>47</v>
      </c>
      <c r="H408" s="8">
        <v>1.1499999999999999</v>
      </c>
      <c r="I408" s="4">
        <v>0</v>
      </c>
    </row>
    <row r="409" spans="1:9" x14ac:dyDescent="0.2">
      <c r="A409" s="2">
        <v>10</v>
      </c>
      <c r="B409" s="1" t="s">
        <v>160</v>
      </c>
      <c r="C409" s="4">
        <v>122</v>
      </c>
      <c r="D409" s="8">
        <v>1.71</v>
      </c>
      <c r="E409" s="4">
        <v>17</v>
      </c>
      <c r="F409" s="8">
        <v>0.56000000000000005</v>
      </c>
      <c r="G409" s="4">
        <v>105</v>
      </c>
      <c r="H409" s="8">
        <v>2.57</v>
      </c>
      <c r="I409" s="4">
        <v>0</v>
      </c>
    </row>
    <row r="410" spans="1:9" x14ac:dyDescent="0.2">
      <c r="A410" s="2">
        <v>10</v>
      </c>
      <c r="B410" s="1" t="s">
        <v>173</v>
      </c>
      <c r="C410" s="4">
        <v>122</v>
      </c>
      <c r="D410" s="8">
        <v>1.71</v>
      </c>
      <c r="E410" s="4">
        <v>84</v>
      </c>
      <c r="F410" s="8">
        <v>2.77</v>
      </c>
      <c r="G410" s="4">
        <v>37</v>
      </c>
      <c r="H410" s="8">
        <v>0.91</v>
      </c>
      <c r="I410" s="4">
        <v>1</v>
      </c>
    </row>
    <row r="411" spans="1:9" x14ac:dyDescent="0.2">
      <c r="A411" s="2">
        <v>12</v>
      </c>
      <c r="B411" s="1" t="s">
        <v>170</v>
      </c>
      <c r="C411" s="4">
        <v>119</v>
      </c>
      <c r="D411" s="8">
        <v>1.67</v>
      </c>
      <c r="E411" s="4">
        <v>108</v>
      </c>
      <c r="F411" s="8">
        <v>3.56</v>
      </c>
      <c r="G411" s="4">
        <v>11</v>
      </c>
      <c r="H411" s="8">
        <v>0.27</v>
      </c>
      <c r="I411" s="4">
        <v>0</v>
      </c>
    </row>
    <row r="412" spans="1:9" x14ac:dyDescent="0.2">
      <c r="A412" s="2">
        <v>13</v>
      </c>
      <c r="B412" s="1" t="s">
        <v>174</v>
      </c>
      <c r="C412" s="4">
        <v>118</v>
      </c>
      <c r="D412" s="8">
        <v>1.66</v>
      </c>
      <c r="E412" s="4">
        <v>110</v>
      </c>
      <c r="F412" s="8">
        <v>3.63</v>
      </c>
      <c r="G412" s="4">
        <v>8</v>
      </c>
      <c r="H412" s="8">
        <v>0.2</v>
      </c>
      <c r="I412" s="4">
        <v>0</v>
      </c>
    </row>
    <row r="413" spans="1:9" x14ac:dyDescent="0.2">
      <c r="A413" s="2">
        <v>14</v>
      </c>
      <c r="B413" s="1" t="s">
        <v>161</v>
      </c>
      <c r="C413" s="4">
        <v>114</v>
      </c>
      <c r="D413" s="8">
        <v>1.6</v>
      </c>
      <c r="E413" s="4">
        <v>22</v>
      </c>
      <c r="F413" s="8">
        <v>0.73</v>
      </c>
      <c r="G413" s="4">
        <v>92</v>
      </c>
      <c r="H413" s="8">
        <v>2.2599999999999998</v>
      </c>
      <c r="I413" s="4">
        <v>0</v>
      </c>
    </row>
    <row r="414" spans="1:9" x14ac:dyDescent="0.2">
      <c r="A414" s="2">
        <v>15</v>
      </c>
      <c r="B414" s="1" t="s">
        <v>197</v>
      </c>
      <c r="C414" s="4">
        <v>113</v>
      </c>
      <c r="D414" s="8">
        <v>1.59</v>
      </c>
      <c r="E414" s="4">
        <v>59</v>
      </c>
      <c r="F414" s="8">
        <v>1.95</v>
      </c>
      <c r="G414" s="4">
        <v>54</v>
      </c>
      <c r="H414" s="8">
        <v>1.32</v>
      </c>
      <c r="I414" s="4">
        <v>0</v>
      </c>
    </row>
    <row r="415" spans="1:9" x14ac:dyDescent="0.2">
      <c r="A415" s="2">
        <v>16</v>
      </c>
      <c r="B415" s="1" t="s">
        <v>167</v>
      </c>
      <c r="C415" s="4">
        <v>110</v>
      </c>
      <c r="D415" s="8">
        <v>1.54</v>
      </c>
      <c r="E415" s="4">
        <v>13</v>
      </c>
      <c r="F415" s="8">
        <v>0.43</v>
      </c>
      <c r="G415" s="4">
        <v>95</v>
      </c>
      <c r="H415" s="8">
        <v>2.33</v>
      </c>
      <c r="I415" s="4">
        <v>0</v>
      </c>
    </row>
    <row r="416" spans="1:9" x14ac:dyDescent="0.2">
      <c r="A416" s="2">
        <v>17</v>
      </c>
      <c r="B416" s="1" t="s">
        <v>192</v>
      </c>
      <c r="C416" s="4">
        <v>102</v>
      </c>
      <c r="D416" s="8">
        <v>1.43</v>
      </c>
      <c r="E416" s="4">
        <v>14</v>
      </c>
      <c r="F416" s="8">
        <v>0.46</v>
      </c>
      <c r="G416" s="4">
        <v>88</v>
      </c>
      <c r="H416" s="8">
        <v>2.16</v>
      </c>
      <c r="I416" s="4">
        <v>0</v>
      </c>
    </row>
    <row r="417" spans="1:9" x14ac:dyDescent="0.2">
      <c r="A417" s="2">
        <v>18</v>
      </c>
      <c r="B417" s="1" t="s">
        <v>198</v>
      </c>
      <c r="C417" s="4">
        <v>91</v>
      </c>
      <c r="D417" s="8">
        <v>1.28</v>
      </c>
      <c r="E417" s="4">
        <v>28</v>
      </c>
      <c r="F417" s="8">
        <v>0.92</v>
      </c>
      <c r="G417" s="4">
        <v>62</v>
      </c>
      <c r="H417" s="8">
        <v>1.52</v>
      </c>
      <c r="I417" s="4">
        <v>1</v>
      </c>
    </row>
    <row r="418" spans="1:9" x14ac:dyDescent="0.2">
      <c r="A418" s="2">
        <v>19</v>
      </c>
      <c r="B418" s="1" t="s">
        <v>201</v>
      </c>
      <c r="C418" s="4">
        <v>88</v>
      </c>
      <c r="D418" s="8">
        <v>1.24</v>
      </c>
      <c r="E418" s="4">
        <v>9</v>
      </c>
      <c r="F418" s="8">
        <v>0.3</v>
      </c>
      <c r="G418" s="4">
        <v>79</v>
      </c>
      <c r="H418" s="8">
        <v>1.94</v>
      </c>
      <c r="I418" s="4">
        <v>0</v>
      </c>
    </row>
    <row r="419" spans="1:9" x14ac:dyDescent="0.2">
      <c r="A419" s="2">
        <v>20</v>
      </c>
      <c r="B419" s="1" t="s">
        <v>177</v>
      </c>
      <c r="C419" s="4">
        <v>84</v>
      </c>
      <c r="D419" s="8">
        <v>1.18</v>
      </c>
      <c r="E419" s="4">
        <v>8</v>
      </c>
      <c r="F419" s="8">
        <v>0.26</v>
      </c>
      <c r="G419" s="4">
        <v>76</v>
      </c>
      <c r="H419" s="8">
        <v>1.86</v>
      </c>
      <c r="I419" s="4">
        <v>0</v>
      </c>
    </row>
    <row r="420" spans="1:9" x14ac:dyDescent="0.2">
      <c r="A420" s="2">
        <v>20</v>
      </c>
      <c r="B420" s="1" t="s">
        <v>204</v>
      </c>
      <c r="C420" s="4">
        <v>84</v>
      </c>
      <c r="D420" s="8">
        <v>1.18</v>
      </c>
      <c r="E420" s="4">
        <v>60</v>
      </c>
      <c r="F420" s="8">
        <v>1.98</v>
      </c>
      <c r="G420" s="4">
        <v>24</v>
      </c>
      <c r="H420" s="8">
        <v>0.59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162</v>
      </c>
      <c r="C423" s="4">
        <v>316</v>
      </c>
      <c r="D423" s="8">
        <v>5.89</v>
      </c>
      <c r="E423" s="4">
        <v>176</v>
      </c>
      <c r="F423" s="8">
        <v>7.86</v>
      </c>
      <c r="G423" s="4">
        <v>139</v>
      </c>
      <c r="H423" s="8">
        <v>4.47</v>
      </c>
      <c r="I423" s="4">
        <v>1</v>
      </c>
    </row>
    <row r="424" spans="1:9" x14ac:dyDescent="0.2">
      <c r="A424" s="2">
        <v>2</v>
      </c>
      <c r="B424" s="1" t="s">
        <v>168</v>
      </c>
      <c r="C424" s="4">
        <v>158</v>
      </c>
      <c r="D424" s="8">
        <v>2.95</v>
      </c>
      <c r="E424" s="4">
        <v>126</v>
      </c>
      <c r="F424" s="8">
        <v>5.63</v>
      </c>
      <c r="G424" s="4">
        <v>32</v>
      </c>
      <c r="H424" s="8">
        <v>1.03</v>
      </c>
      <c r="I424" s="4">
        <v>0</v>
      </c>
    </row>
    <row r="425" spans="1:9" x14ac:dyDescent="0.2">
      <c r="A425" s="2">
        <v>3</v>
      </c>
      <c r="B425" s="1" t="s">
        <v>172</v>
      </c>
      <c r="C425" s="4">
        <v>150</v>
      </c>
      <c r="D425" s="8">
        <v>2.8</v>
      </c>
      <c r="E425" s="4">
        <v>112</v>
      </c>
      <c r="F425" s="8">
        <v>5</v>
      </c>
      <c r="G425" s="4">
        <v>38</v>
      </c>
      <c r="H425" s="8">
        <v>1.22</v>
      </c>
      <c r="I425" s="4">
        <v>0</v>
      </c>
    </row>
    <row r="426" spans="1:9" x14ac:dyDescent="0.2">
      <c r="A426" s="2">
        <v>4</v>
      </c>
      <c r="B426" s="1" t="s">
        <v>169</v>
      </c>
      <c r="C426" s="4">
        <v>148</v>
      </c>
      <c r="D426" s="8">
        <v>2.76</v>
      </c>
      <c r="E426" s="4">
        <v>122</v>
      </c>
      <c r="F426" s="8">
        <v>5.45</v>
      </c>
      <c r="G426" s="4">
        <v>26</v>
      </c>
      <c r="H426" s="8">
        <v>0.84</v>
      </c>
      <c r="I426" s="4">
        <v>0</v>
      </c>
    </row>
    <row r="427" spans="1:9" x14ac:dyDescent="0.2">
      <c r="A427" s="2">
        <v>5</v>
      </c>
      <c r="B427" s="1" t="s">
        <v>178</v>
      </c>
      <c r="C427" s="4">
        <v>128</v>
      </c>
      <c r="D427" s="8">
        <v>2.39</v>
      </c>
      <c r="E427" s="4">
        <v>21</v>
      </c>
      <c r="F427" s="8">
        <v>0.94</v>
      </c>
      <c r="G427" s="4">
        <v>107</v>
      </c>
      <c r="H427" s="8">
        <v>3.44</v>
      </c>
      <c r="I427" s="4">
        <v>0</v>
      </c>
    </row>
    <row r="428" spans="1:9" x14ac:dyDescent="0.2">
      <c r="A428" s="2">
        <v>6</v>
      </c>
      <c r="B428" s="1" t="s">
        <v>171</v>
      </c>
      <c r="C428" s="4">
        <v>110</v>
      </c>
      <c r="D428" s="8">
        <v>2.0499999999999998</v>
      </c>
      <c r="E428" s="4">
        <v>99</v>
      </c>
      <c r="F428" s="8">
        <v>4.42</v>
      </c>
      <c r="G428" s="4">
        <v>11</v>
      </c>
      <c r="H428" s="8">
        <v>0.35</v>
      </c>
      <c r="I428" s="4">
        <v>0</v>
      </c>
    </row>
    <row r="429" spans="1:9" x14ac:dyDescent="0.2">
      <c r="A429" s="2">
        <v>7</v>
      </c>
      <c r="B429" s="1" t="s">
        <v>159</v>
      </c>
      <c r="C429" s="4">
        <v>107</v>
      </c>
      <c r="D429" s="8">
        <v>2</v>
      </c>
      <c r="E429" s="4">
        <v>75</v>
      </c>
      <c r="F429" s="8">
        <v>3.35</v>
      </c>
      <c r="G429" s="4">
        <v>32</v>
      </c>
      <c r="H429" s="8">
        <v>1.03</v>
      </c>
      <c r="I429" s="4">
        <v>0</v>
      </c>
    </row>
    <row r="430" spans="1:9" x14ac:dyDescent="0.2">
      <c r="A430" s="2">
        <v>8</v>
      </c>
      <c r="B430" s="1" t="s">
        <v>158</v>
      </c>
      <c r="C430" s="4">
        <v>102</v>
      </c>
      <c r="D430" s="8">
        <v>1.9</v>
      </c>
      <c r="E430" s="4">
        <v>70</v>
      </c>
      <c r="F430" s="8">
        <v>3.13</v>
      </c>
      <c r="G430" s="4">
        <v>32</v>
      </c>
      <c r="H430" s="8">
        <v>1.03</v>
      </c>
      <c r="I430" s="4">
        <v>0</v>
      </c>
    </row>
    <row r="431" spans="1:9" x14ac:dyDescent="0.2">
      <c r="A431" s="2">
        <v>9</v>
      </c>
      <c r="B431" s="1" t="s">
        <v>175</v>
      </c>
      <c r="C431" s="4">
        <v>99</v>
      </c>
      <c r="D431" s="8">
        <v>1.85</v>
      </c>
      <c r="E431" s="4">
        <v>68</v>
      </c>
      <c r="F431" s="8">
        <v>3.04</v>
      </c>
      <c r="G431" s="4">
        <v>31</v>
      </c>
      <c r="H431" s="8">
        <v>1</v>
      </c>
      <c r="I431" s="4">
        <v>0</v>
      </c>
    </row>
    <row r="432" spans="1:9" x14ac:dyDescent="0.2">
      <c r="A432" s="2">
        <v>10</v>
      </c>
      <c r="B432" s="1" t="s">
        <v>204</v>
      </c>
      <c r="C432" s="4">
        <v>72</v>
      </c>
      <c r="D432" s="8">
        <v>1.34</v>
      </c>
      <c r="E432" s="4">
        <v>49</v>
      </c>
      <c r="F432" s="8">
        <v>2.19</v>
      </c>
      <c r="G432" s="4">
        <v>23</v>
      </c>
      <c r="H432" s="8">
        <v>0.74</v>
      </c>
      <c r="I432" s="4">
        <v>0</v>
      </c>
    </row>
    <row r="433" spans="1:9" x14ac:dyDescent="0.2">
      <c r="A433" s="2">
        <v>10</v>
      </c>
      <c r="B433" s="1" t="s">
        <v>173</v>
      </c>
      <c r="C433" s="4">
        <v>72</v>
      </c>
      <c r="D433" s="8">
        <v>1.34</v>
      </c>
      <c r="E433" s="4">
        <v>50</v>
      </c>
      <c r="F433" s="8">
        <v>2.23</v>
      </c>
      <c r="G433" s="4">
        <v>21</v>
      </c>
      <c r="H433" s="8">
        <v>0.67</v>
      </c>
      <c r="I433" s="4">
        <v>1</v>
      </c>
    </row>
    <row r="434" spans="1:9" x14ac:dyDescent="0.2">
      <c r="A434" s="2">
        <v>12</v>
      </c>
      <c r="B434" s="1" t="s">
        <v>163</v>
      </c>
      <c r="C434" s="4">
        <v>71</v>
      </c>
      <c r="D434" s="8">
        <v>1.32</v>
      </c>
      <c r="E434" s="4">
        <v>3</v>
      </c>
      <c r="F434" s="8">
        <v>0.13</v>
      </c>
      <c r="G434" s="4">
        <v>68</v>
      </c>
      <c r="H434" s="8">
        <v>2.19</v>
      </c>
      <c r="I434" s="4">
        <v>0</v>
      </c>
    </row>
    <row r="435" spans="1:9" x14ac:dyDescent="0.2">
      <c r="A435" s="2">
        <v>13</v>
      </c>
      <c r="B435" s="1" t="s">
        <v>160</v>
      </c>
      <c r="C435" s="4">
        <v>70</v>
      </c>
      <c r="D435" s="8">
        <v>1.31</v>
      </c>
      <c r="E435" s="4">
        <v>12</v>
      </c>
      <c r="F435" s="8">
        <v>0.54</v>
      </c>
      <c r="G435" s="4">
        <v>58</v>
      </c>
      <c r="H435" s="8">
        <v>1.86</v>
      </c>
      <c r="I435" s="4">
        <v>0</v>
      </c>
    </row>
    <row r="436" spans="1:9" x14ac:dyDescent="0.2">
      <c r="A436" s="2">
        <v>14</v>
      </c>
      <c r="B436" s="1" t="s">
        <v>177</v>
      </c>
      <c r="C436" s="4">
        <v>67</v>
      </c>
      <c r="D436" s="8">
        <v>1.25</v>
      </c>
      <c r="E436" s="4">
        <v>8</v>
      </c>
      <c r="F436" s="8">
        <v>0.36</v>
      </c>
      <c r="G436" s="4">
        <v>59</v>
      </c>
      <c r="H436" s="8">
        <v>1.9</v>
      </c>
      <c r="I436" s="4">
        <v>0</v>
      </c>
    </row>
    <row r="437" spans="1:9" x14ac:dyDescent="0.2">
      <c r="A437" s="2">
        <v>15</v>
      </c>
      <c r="B437" s="1" t="s">
        <v>197</v>
      </c>
      <c r="C437" s="4">
        <v>66</v>
      </c>
      <c r="D437" s="8">
        <v>1.23</v>
      </c>
      <c r="E437" s="4">
        <v>40</v>
      </c>
      <c r="F437" s="8">
        <v>1.79</v>
      </c>
      <c r="G437" s="4">
        <v>26</v>
      </c>
      <c r="H437" s="8">
        <v>0.84</v>
      </c>
      <c r="I437" s="4">
        <v>0</v>
      </c>
    </row>
    <row r="438" spans="1:9" x14ac:dyDescent="0.2">
      <c r="A438" s="2">
        <v>16</v>
      </c>
      <c r="B438" s="1" t="s">
        <v>192</v>
      </c>
      <c r="C438" s="4">
        <v>62</v>
      </c>
      <c r="D438" s="8">
        <v>1.1599999999999999</v>
      </c>
      <c r="E438" s="4">
        <v>14</v>
      </c>
      <c r="F438" s="8">
        <v>0.63</v>
      </c>
      <c r="G438" s="4">
        <v>48</v>
      </c>
      <c r="H438" s="8">
        <v>1.54</v>
      </c>
      <c r="I438" s="4">
        <v>0</v>
      </c>
    </row>
    <row r="439" spans="1:9" x14ac:dyDescent="0.2">
      <c r="A439" s="2">
        <v>17</v>
      </c>
      <c r="B439" s="1" t="s">
        <v>195</v>
      </c>
      <c r="C439" s="4">
        <v>61</v>
      </c>
      <c r="D439" s="8">
        <v>1.1399999999999999</v>
      </c>
      <c r="E439" s="4">
        <v>7</v>
      </c>
      <c r="F439" s="8">
        <v>0.31</v>
      </c>
      <c r="G439" s="4">
        <v>54</v>
      </c>
      <c r="H439" s="8">
        <v>1.74</v>
      </c>
      <c r="I439" s="4">
        <v>0</v>
      </c>
    </row>
    <row r="440" spans="1:9" x14ac:dyDescent="0.2">
      <c r="A440" s="2">
        <v>17</v>
      </c>
      <c r="B440" s="1" t="s">
        <v>161</v>
      </c>
      <c r="C440" s="4">
        <v>61</v>
      </c>
      <c r="D440" s="8">
        <v>1.1399999999999999</v>
      </c>
      <c r="E440" s="4">
        <v>12</v>
      </c>
      <c r="F440" s="8">
        <v>0.54</v>
      </c>
      <c r="G440" s="4">
        <v>49</v>
      </c>
      <c r="H440" s="8">
        <v>1.57</v>
      </c>
      <c r="I440" s="4">
        <v>0</v>
      </c>
    </row>
    <row r="441" spans="1:9" x14ac:dyDescent="0.2">
      <c r="A441" s="2">
        <v>19</v>
      </c>
      <c r="B441" s="1" t="s">
        <v>205</v>
      </c>
      <c r="C441" s="4">
        <v>60</v>
      </c>
      <c r="D441" s="8">
        <v>1.1200000000000001</v>
      </c>
      <c r="E441" s="4">
        <v>37</v>
      </c>
      <c r="F441" s="8">
        <v>1.65</v>
      </c>
      <c r="G441" s="4">
        <v>23</v>
      </c>
      <c r="H441" s="8">
        <v>0.74</v>
      </c>
      <c r="I441" s="4">
        <v>0</v>
      </c>
    </row>
    <row r="442" spans="1:9" x14ac:dyDescent="0.2">
      <c r="A442" s="2">
        <v>20</v>
      </c>
      <c r="B442" s="1" t="s">
        <v>198</v>
      </c>
      <c r="C442" s="4">
        <v>59</v>
      </c>
      <c r="D442" s="8">
        <v>1.1000000000000001</v>
      </c>
      <c r="E442" s="4">
        <v>10</v>
      </c>
      <c r="F442" s="8">
        <v>0.45</v>
      </c>
      <c r="G442" s="4">
        <v>49</v>
      </c>
      <c r="H442" s="8">
        <v>1.57</v>
      </c>
      <c r="I442" s="4">
        <v>0</v>
      </c>
    </row>
    <row r="443" spans="1:9" x14ac:dyDescent="0.2">
      <c r="A443" s="2">
        <v>20</v>
      </c>
      <c r="B443" s="1" t="s">
        <v>167</v>
      </c>
      <c r="C443" s="4">
        <v>59</v>
      </c>
      <c r="D443" s="8">
        <v>1.1000000000000001</v>
      </c>
      <c r="E443" s="4">
        <v>11</v>
      </c>
      <c r="F443" s="8">
        <v>0.49</v>
      </c>
      <c r="G443" s="4">
        <v>46</v>
      </c>
      <c r="H443" s="8">
        <v>1.48</v>
      </c>
      <c r="I443" s="4">
        <v>0</v>
      </c>
    </row>
    <row r="444" spans="1:9" x14ac:dyDescent="0.2">
      <c r="A444" s="2">
        <v>20</v>
      </c>
      <c r="B444" s="1" t="s">
        <v>191</v>
      </c>
      <c r="C444" s="4">
        <v>59</v>
      </c>
      <c r="D444" s="8">
        <v>1.1000000000000001</v>
      </c>
      <c r="E444" s="4">
        <v>54</v>
      </c>
      <c r="F444" s="8">
        <v>2.41</v>
      </c>
      <c r="G444" s="4">
        <v>5</v>
      </c>
      <c r="H444" s="8">
        <v>0.16</v>
      </c>
      <c r="I444" s="4">
        <v>0</v>
      </c>
    </row>
    <row r="445" spans="1:9" x14ac:dyDescent="0.2">
      <c r="A445" s="1"/>
      <c r="C445" s="4"/>
      <c r="D445" s="8"/>
      <c r="E445" s="4"/>
      <c r="F445" s="8"/>
      <c r="G445" s="4"/>
      <c r="H445" s="8"/>
      <c r="I445" s="4"/>
    </row>
    <row r="446" spans="1:9" x14ac:dyDescent="0.2">
      <c r="A446" s="1" t="s">
        <v>20</v>
      </c>
      <c r="C446" s="4"/>
      <c r="D446" s="8"/>
      <c r="E446" s="4"/>
      <c r="F446" s="8"/>
      <c r="G446" s="4"/>
      <c r="H446" s="8"/>
      <c r="I446" s="4"/>
    </row>
    <row r="447" spans="1:9" x14ac:dyDescent="0.2">
      <c r="A447" s="2">
        <v>1</v>
      </c>
      <c r="B447" s="1" t="s">
        <v>162</v>
      </c>
      <c r="C447" s="4">
        <v>593</v>
      </c>
      <c r="D447" s="8">
        <v>5.69</v>
      </c>
      <c r="E447" s="4">
        <v>233</v>
      </c>
      <c r="F447" s="8">
        <v>5.76</v>
      </c>
      <c r="G447" s="4">
        <v>360</v>
      </c>
      <c r="H447" s="8">
        <v>5.67</v>
      </c>
      <c r="I447" s="4">
        <v>0</v>
      </c>
    </row>
    <row r="448" spans="1:9" x14ac:dyDescent="0.2">
      <c r="A448" s="2">
        <v>2</v>
      </c>
      <c r="B448" s="1" t="s">
        <v>172</v>
      </c>
      <c r="C448" s="4">
        <v>364</v>
      </c>
      <c r="D448" s="8">
        <v>3.49</v>
      </c>
      <c r="E448" s="4">
        <v>282</v>
      </c>
      <c r="F448" s="8">
        <v>6.97</v>
      </c>
      <c r="G448" s="4">
        <v>82</v>
      </c>
      <c r="H448" s="8">
        <v>1.29</v>
      </c>
      <c r="I448" s="4">
        <v>0</v>
      </c>
    </row>
    <row r="449" spans="1:9" x14ac:dyDescent="0.2">
      <c r="A449" s="2">
        <v>3</v>
      </c>
      <c r="B449" s="1" t="s">
        <v>168</v>
      </c>
      <c r="C449" s="4">
        <v>334</v>
      </c>
      <c r="D449" s="8">
        <v>3.21</v>
      </c>
      <c r="E449" s="4">
        <v>244</v>
      </c>
      <c r="F449" s="8">
        <v>6.03</v>
      </c>
      <c r="G449" s="4">
        <v>90</v>
      </c>
      <c r="H449" s="8">
        <v>1.42</v>
      </c>
      <c r="I449" s="4">
        <v>0</v>
      </c>
    </row>
    <row r="450" spans="1:9" x14ac:dyDescent="0.2">
      <c r="A450" s="2">
        <v>4</v>
      </c>
      <c r="B450" s="1" t="s">
        <v>169</v>
      </c>
      <c r="C450" s="4">
        <v>310</v>
      </c>
      <c r="D450" s="8">
        <v>2.98</v>
      </c>
      <c r="E450" s="4">
        <v>267</v>
      </c>
      <c r="F450" s="8">
        <v>6.6</v>
      </c>
      <c r="G450" s="4">
        <v>43</v>
      </c>
      <c r="H450" s="8">
        <v>0.68</v>
      </c>
      <c r="I450" s="4">
        <v>0</v>
      </c>
    </row>
    <row r="451" spans="1:9" x14ac:dyDescent="0.2">
      <c r="A451" s="2">
        <v>5</v>
      </c>
      <c r="B451" s="1" t="s">
        <v>175</v>
      </c>
      <c r="C451" s="4">
        <v>289</v>
      </c>
      <c r="D451" s="8">
        <v>2.77</v>
      </c>
      <c r="E451" s="4">
        <v>246</v>
      </c>
      <c r="F451" s="8">
        <v>6.08</v>
      </c>
      <c r="G451" s="4">
        <v>43</v>
      </c>
      <c r="H451" s="8">
        <v>0.68</v>
      </c>
      <c r="I451" s="4">
        <v>0</v>
      </c>
    </row>
    <row r="452" spans="1:9" x14ac:dyDescent="0.2">
      <c r="A452" s="2">
        <v>6</v>
      </c>
      <c r="B452" s="1" t="s">
        <v>163</v>
      </c>
      <c r="C452" s="4">
        <v>277</v>
      </c>
      <c r="D452" s="8">
        <v>2.66</v>
      </c>
      <c r="E452" s="4">
        <v>14</v>
      </c>
      <c r="F452" s="8">
        <v>0.35</v>
      </c>
      <c r="G452" s="4">
        <v>262</v>
      </c>
      <c r="H452" s="8">
        <v>4.13</v>
      </c>
      <c r="I452" s="4">
        <v>1</v>
      </c>
    </row>
    <row r="453" spans="1:9" x14ac:dyDescent="0.2">
      <c r="A453" s="2">
        <v>7</v>
      </c>
      <c r="B453" s="1" t="s">
        <v>171</v>
      </c>
      <c r="C453" s="4">
        <v>255</v>
      </c>
      <c r="D453" s="8">
        <v>2.4500000000000002</v>
      </c>
      <c r="E453" s="4">
        <v>227</v>
      </c>
      <c r="F453" s="8">
        <v>5.61</v>
      </c>
      <c r="G453" s="4">
        <v>28</v>
      </c>
      <c r="H453" s="8">
        <v>0.44</v>
      </c>
      <c r="I453" s="4">
        <v>0</v>
      </c>
    </row>
    <row r="454" spans="1:9" x14ac:dyDescent="0.2">
      <c r="A454" s="2">
        <v>8</v>
      </c>
      <c r="B454" s="1" t="s">
        <v>173</v>
      </c>
      <c r="C454" s="4">
        <v>218</v>
      </c>
      <c r="D454" s="8">
        <v>2.09</v>
      </c>
      <c r="E454" s="4">
        <v>159</v>
      </c>
      <c r="F454" s="8">
        <v>3.93</v>
      </c>
      <c r="G454" s="4">
        <v>58</v>
      </c>
      <c r="H454" s="8">
        <v>0.91</v>
      </c>
      <c r="I454" s="4">
        <v>1</v>
      </c>
    </row>
    <row r="455" spans="1:9" x14ac:dyDescent="0.2">
      <c r="A455" s="2">
        <v>9</v>
      </c>
      <c r="B455" s="1" t="s">
        <v>160</v>
      </c>
      <c r="C455" s="4">
        <v>188</v>
      </c>
      <c r="D455" s="8">
        <v>1.8</v>
      </c>
      <c r="E455" s="4">
        <v>18</v>
      </c>
      <c r="F455" s="8">
        <v>0.44</v>
      </c>
      <c r="G455" s="4">
        <v>170</v>
      </c>
      <c r="H455" s="8">
        <v>2.68</v>
      </c>
      <c r="I455" s="4">
        <v>0</v>
      </c>
    </row>
    <row r="456" spans="1:9" x14ac:dyDescent="0.2">
      <c r="A456" s="2">
        <v>10</v>
      </c>
      <c r="B456" s="1" t="s">
        <v>192</v>
      </c>
      <c r="C456" s="4">
        <v>183</v>
      </c>
      <c r="D456" s="8">
        <v>1.76</v>
      </c>
      <c r="E456" s="4">
        <v>19</v>
      </c>
      <c r="F456" s="8">
        <v>0.47</v>
      </c>
      <c r="G456" s="4">
        <v>164</v>
      </c>
      <c r="H456" s="8">
        <v>2.58</v>
      </c>
      <c r="I456" s="4">
        <v>0</v>
      </c>
    </row>
    <row r="457" spans="1:9" x14ac:dyDescent="0.2">
      <c r="A457" s="2">
        <v>11</v>
      </c>
      <c r="B457" s="1" t="s">
        <v>178</v>
      </c>
      <c r="C457" s="4">
        <v>180</v>
      </c>
      <c r="D457" s="8">
        <v>1.73</v>
      </c>
      <c r="E457" s="4">
        <v>20</v>
      </c>
      <c r="F457" s="8">
        <v>0.49</v>
      </c>
      <c r="G457" s="4">
        <v>160</v>
      </c>
      <c r="H457" s="8">
        <v>2.52</v>
      </c>
      <c r="I457" s="4">
        <v>0</v>
      </c>
    </row>
    <row r="458" spans="1:9" x14ac:dyDescent="0.2">
      <c r="A458" s="2">
        <v>12</v>
      </c>
      <c r="B458" s="1" t="s">
        <v>159</v>
      </c>
      <c r="C458" s="4">
        <v>167</v>
      </c>
      <c r="D458" s="8">
        <v>1.6</v>
      </c>
      <c r="E458" s="4">
        <v>105</v>
      </c>
      <c r="F458" s="8">
        <v>2.6</v>
      </c>
      <c r="G458" s="4">
        <v>62</v>
      </c>
      <c r="H458" s="8">
        <v>0.98</v>
      </c>
      <c r="I458" s="4">
        <v>0</v>
      </c>
    </row>
    <row r="459" spans="1:9" x14ac:dyDescent="0.2">
      <c r="A459" s="2">
        <v>13</v>
      </c>
      <c r="B459" s="1" t="s">
        <v>158</v>
      </c>
      <c r="C459" s="4">
        <v>162</v>
      </c>
      <c r="D459" s="8">
        <v>1.56</v>
      </c>
      <c r="E459" s="4">
        <v>103</v>
      </c>
      <c r="F459" s="8">
        <v>2.5499999999999998</v>
      </c>
      <c r="G459" s="4">
        <v>59</v>
      </c>
      <c r="H459" s="8">
        <v>0.93</v>
      </c>
      <c r="I459" s="4">
        <v>0</v>
      </c>
    </row>
    <row r="460" spans="1:9" x14ac:dyDescent="0.2">
      <c r="A460" s="2">
        <v>14</v>
      </c>
      <c r="B460" s="1" t="s">
        <v>197</v>
      </c>
      <c r="C460" s="4">
        <v>160</v>
      </c>
      <c r="D460" s="8">
        <v>1.54</v>
      </c>
      <c r="E460" s="4">
        <v>78</v>
      </c>
      <c r="F460" s="8">
        <v>1.93</v>
      </c>
      <c r="G460" s="4">
        <v>82</v>
      </c>
      <c r="H460" s="8">
        <v>1.29</v>
      </c>
      <c r="I460" s="4">
        <v>0</v>
      </c>
    </row>
    <row r="461" spans="1:9" x14ac:dyDescent="0.2">
      <c r="A461" s="2">
        <v>15</v>
      </c>
      <c r="B461" s="1" t="s">
        <v>161</v>
      </c>
      <c r="C461" s="4">
        <v>155</v>
      </c>
      <c r="D461" s="8">
        <v>1.49</v>
      </c>
      <c r="E461" s="4">
        <v>29</v>
      </c>
      <c r="F461" s="8">
        <v>0.72</v>
      </c>
      <c r="G461" s="4">
        <v>125</v>
      </c>
      <c r="H461" s="8">
        <v>1.97</v>
      </c>
      <c r="I461" s="4">
        <v>0</v>
      </c>
    </row>
    <row r="462" spans="1:9" x14ac:dyDescent="0.2">
      <c r="A462" s="2">
        <v>16</v>
      </c>
      <c r="B462" s="1" t="s">
        <v>174</v>
      </c>
      <c r="C462" s="4">
        <v>154</v>
      </c>
      <c r="D462" s="8">
        <v>1.48</v>
      </c>
      <c r="E462" s="4">
        <v>132</v>
      </c>
      <c r="F462" s="8">
        <v>3.26</v>
      </c>
      <c r="G462" s="4">
        <v>22</v>
      </c>
      <c r="H462" s="8">
        <v>0.35</v>
      </c>
      <c r="I462" s="4">
        <v>0</v>
      </c>
    </row>
    <row r="463" spans="1:9" x14ac:dyDescent="0.2">
      <c r="A463" s="2">
        <v>17</v>
      </c>
      <c r="B463" s="1" t="s">
        <v>195</v>
      </c>
      <c r="C463" s="4">
        <v>151</v>
      </c>
      <c r="D463" s="8">
        <v>1.45</v>
      </c>
      <c r="E463" s="4">
        <v>30</v>
      </c>
      <c r="F463" s="8">
        <v>0.74</v>
      </c>
      <c r="G463" s="4">
        <v>121</v>
      </c>
      <c r="H463" s="8">
        <v>1.91</v>
      </c>
      <c r="I463" s="4">
        <v>0</v>
      </c>
    </row>
    <row r="464" spans="1:9" x14ac:dyDescent="0.2">
      <c r="A464" s="2">
        <v>18</v>
      </c>
      <c r="B464" s="1" t="s">
        <v>201</v>
      </c>
      <c r="C464" s="4">
        <v>145</v>
      </c>
      <c r="D464" s="8">
        <v>1.39</v>
      </c>
      <c r="E464" s="4">
        <v>10</v>
      </c>
      <c r="F464" s="8">
        <v>0.25</v>
      </c>
      <c r="G464" s="4">
        <v>135</v>
      </c>
      <c r="H464" s="8">
        <v>2.13</v>
      </c>
      <c r="I464" s="4">
        <v>0</v>
      </c>
    </row>
    <row r="465" spans="1:9" x14ac:dyDescent="0.2">
      <c r="A465" s="2">
        <v>19</v>
      </c>
      <c r="B465" s="1" t="s">
        <v>206</v>
      </c>
      <c r="C465" s="4">
        <v>144</v>
      </c>
      <c r="D465" s="8">
        <v>1.38</v>
      </c>
      <c r="E465" s="4">
        <v>15</v>
      </c>
      <c r="F465" s="8">
        <v>0.37</v>
      </c>
      <c r="G465" s="4">
        <v>129</v>
      </c>
      <c r="H465" s="8">
        <v>2.0299999999999998</v>
      </c>
      <c r="I465" s="4">
        <v>0</v>
      </c>
    </row>
    <row r="466" spans="1:9" x14ac:dyDescent="0.2">
      <c r="A466" s="2">
        <v>20</v>
      </c>
      <c r="B466" s="1" t="s">
        <v>198</v>
      </c>
      <c r="C466" s="4">
        <v>136</v>
      </c>
      <c r="D466" s="8">
        <v>1.31</v>
      </c>
      <c r="E466" s="4">
        <v>30</v>
      </c>
      <c r="F466" s="8">
        <v>0.74</v>
      </c>
      <c r="G466" s="4">
        <v>106</v>
      </c>
      <c r="H466" s="8">
        <v>1.67</v>
      </c>
      <c r="I466" s="4">
        <v>0</v>
      </c>
    </row>
    <row r="467" spans="1:9" x14ac:dyDescent="0.2">
      <c r="A467" s="1"/>
      <c r="C467" s="4"/>
      <c r="D467" s="8"/>
      <c r="E467" s="4"/>
      <c r="F467" s="8"/>
      <c r="G467" s="4"/>
      <c r="H467" s="8"/>
      <c r="I467" s="4"/>
    </row>
    <row r="468" spans="1:9" x14ac:dyDescent="0.2">
      <c r="A468" s="1" t="s">
        <v>21</v>
      </c>
      <c r="C468" s="4"/>
      <c r="D468" s="8"/>
      <c r="E468" s="4"/>
      <c r="F468" s="8"/>
      <c r="G468" s="4"/>
      <c r="H468" s="8"/>
      <c r="I468" s="4"/>
    </row>
    <row r="469" spans="1:9" x14ac:dyDescent="0.2">
      <c r="A469" s="2">
        <v>1</v>
      </c>
      <c r="B469" s="1" t="s">
        <v>162</v>
      </c>
      <c r="C469" s="4">
        <v>883</v>
      </c>
      <c r="D469" s="8">
        <v>6.96</v>
      </c>
      <c r="E469" s="4">
        <v>290</v>
      </c>
      <c r="F469" s="8">
        <v>6.12</v>
      </c>
      <c r="G469" s="4">
        <v>593</v>
      </c>
      <c r="H469" s="8">
        <v>7.49</v>
      </c>
      <c r="I469" s="4">
        <v>0</v>
      </c>
    </row>
    <row r="470" spans="1:9" x14ac:dyDescent="0.2">
      <c r="A470" s="2">
        <v>2</v>
      </c>
      <c r="B470" s="1" t="s">
        <v>172</v>
      </c>
      <c r="C470" s="4">
        <v>489</v>
      </c>
      <c r="D470" s="8">
        <v>3.86</v>
      </c>
      <c r="E470" s="4">
        <v>388</v>
      </c>
      <c r="F470" s="8">
        <v>8.18</v>
      </c>
      <c r="G470" s="4">
        <v>101</v>
      </c>
      <c r="H470" s="8">
        <v>1.28</v>
      </c>
      <c r="I470" s="4">
        <v>0</v>
      </c>
    </row>
    <row r="471" spans="1:9" x14ac:dyDescent="0.2">
      <c r="A471" s="2">
        <v>3</v>
      </c>
      <c r="B471" s="1" t="s">
        <v>163</v>
      </c>
      <c r="C471" s="4">
        <v>455</v>
      </c>
      <c r="D471" s="8">
        <v>3.59</v>
      </c>
      <c r="E471" s="4">
        <v>15</v>
      </c>
      <c r="F471" s="8">
        <v>0.32</v>
      </c>
      <c r="G471" s="4">
        <v>438</v>
      </c>
      <c r="H471" s="8">
        <v>5.54</v>
      </c>
      <c r="I471" s="4">
        <v>0</v>
      </c>
    </row>
    <row r="472" spans="1:9" x14ac:dyDescent="0.2">
      <c r="A472" s="2">
        <v>4</v>
      </c>
      <c r="B472" s="1" t="s">
        <v>175</v>
      </c>
      <c r="C472" s="4">
        <v>368</v>
      </c>
      <c r="D472" s="8">
        <v>2.9</v>
      </c>
      <c r="E472" s="4">
        <v>300</v>
      </c>
      <c r="F472" s="8">
        <v>6.33</v>
      </c>
      <c r="G472" s="4">
        <v>68</v>
      </c>
      <c r="H472" s="8">
        <v>0.86</v>
      </c>
      <c r="I472" s="4">
        <v>0</v>
      </c>
    </row>
    <row r="473" spans="1:9" x14ac:dyDescent="0.2">
      <c r="A473" s="2">
        <v>5</v>
      </c>
      <c r="B473" s="1" t="s">
        <v>173</v>
      </c>
      <c r="C473" s="4">
        <v>345</v>
      </c>
      <c r="D473" s="8">
        <v>2.72</v>
      </c>
      <c r="E473" s="4">
        <v>260</v>
      </c>
      <c r="F473" s="8">
        <v>5.48</v>
      </c>
      <c r="G473" s="4">
        <v>84</v>
      </c>
      <c r="H473" s="8">
        <v>1.06</v>
      </c>
      <c r="I473" s="4">
        <v>1</v>
      </c>
    </row>
    <row r="474" spans="1:9" x14ac:dyDescent="0.2">
      <c r="A474" s="2">
        <v>6</v>
      </c>
      <c r="B474" s="1" t="s">
        <v>168</v>
      </c>
      <c r="C474" s="4">
        <v>325</v>
      </c>
      <c r="D474" s="8">
        <v>2.56</v>
      </c>
      <c r="E474" s="4">
        <v>245</v>
      </c>
      <c r="F474" s="8">
        <v>5.17</v>
      </c>
      <c r="G474" s="4">
        <v>80</v>
      </c>
      <c r="H474" s="8">
        <v>1.01</v>
      </c>
      <c r="I474" s="4">
        <v>0</v>
      </c>
    </row>
    <row r="475" spans="1:9" x14ac:dyDescent="0.2">
      <c r="A475" s="2">
        <v>7</v>
      </c>
      <c r="B475" s="1" t="s">
        <v>201</v>
      </c>
      <c r="C475" s="4">
        <v>284</v>
      </c>
      <c r="D475" s="8">
        <v>2.2400000000000002</v>
      </c>
      <c r="E475" s="4">
        <v>23</v>
      </c>
      <c r="F475" s="8">
        <v>0.49</v>
      </c>
      <c r="G475" s="4">
        <v>261</v>
      </c>
      <c r="H475" s="8">
        <v>3.3</v>
      </c>
      <c r="I475" s="4">
        <v>0</v>
      </c>
    </row>
    <row r="476" spans="1:9" x14ac:dyDescent="0.2">
      <c r="A476" s="2">
        <v>8</v>
      </c>
      <c r="B476" s="1" t="s">
        <v>171</v>
      </c>
      <c r="C476" s="4">
        <v>280</v>
      </c>
      <c r="D476" s="8">
        <v>2.21</v>
      </c>
      <c r="E476" s="4">
        <v>257</v>
      </c>
      <c r="F476" s="8">
        <v>5.42</v>
      </c>
      <c r="G476" s="4">
        <v>23</v>
      </c>
      <c r="H476" s="8">
        <v>0.28999999999999998</v>
      </c>
      <c r="I476" s="4">
        <v>0</v>
      </c>
    </row>
    <row r="477" spans="1:9" x14ac:dyDescent="0.2">
      <c r="A477" s="2">
        <v>9</v>
      </c>
      <c r="B477" s="1" t="s">
        <v>169</v>
      </c>
      <c r="C477" s="4">
        <v>279</v>
      </c>
      <c r="D477" s="8">
        <v>2.2000000000000002</v>
      </c>
      <c r="E477" s="4">
        <v>236</v>
      </c>
      <c r="F477" s="8">
        <v>4.9800000000000004</v>
      </c>
      <c r="G477" s="4">
        <v>43</v>
      </c>
      <c r="H477" s="8">
        <v>0.54</v>
      </c>
      <c r="I477" s="4">
        <v>0</v>
      </c>
    </row>
    <row r="478" spans="1:9" x14ac:dyDescent="0.2">
      <c r="A478" s="2">
        <v>10</v>
      </c>
      <c r="B478" s="1" t="s">
        <v>192</v>
      </c>
      <c r="C478" s="4">
        <v>238</v>
      </c>
      <c r="D478" s="8">
        <v>1.88</v>
      </c>
      <c r="E478" s="4">
        <v>30</v>
      </c>
      <c r="F478" s="8">
        <v>0.63</v>
      </c>
      <c r="G478" s="4">
        <v>208</v>
      </c>
      <c r="H478" s="8">
        <v>2.63</v>
      </c>
      <c r="I478" s="4">
        <v>0</v>
      </c>
    </row>
    <row r="479" spans="1:9" x14ac:dyDescent="0.2">
      <c r="A479" s="2">
        <v>11</v>
      </c>
      <c r="B479" s="1" t="s">
        <v>160</v>
      </c>
      <c r="C479" s="4">
        <v>230</v>
      </c>
      <c r="D479" s="8">
        <v>1.81</v>
      </c>
      <c r="E479" s="4">
        <v>23</v>
      </c>
      <c r="F479" s="8">
        <v>0.49</v>
      </c>
      <c r="G479" s="4">
        <v>207</v>
      </c>
      <c r="H479" s="8">
        <v>2.62</v>
      </c>
      <c r="I479" s="4">
        <v>0</v>
      </c>
    </row>
    <row r="480" spans="1:9" x14ac:dyDescent="0.2">
      <c r="A480" s="2">
        <v>12</v>
      </c>
      <c r="B480" s="1" t="s">
        <v>200</v>
      </c>
      <c r="C480" s="4">
        <v>220</v>
      </c>
      <c r="D480" s="8">
        <v>1.73</v>
      </c>
      <c r="E480" s="4">
        <v>22</v>
      </c>
      <c r="F480" s="8">
        <v>0.46</v>
      </c>
      <c r="G480" s="4">
        <v>198</v>
      </c>
      <c r="H480" s="8">
        <v>2.5</v>
      </c>
      <c r="I480" s="4">
        <v>0</v>
      </c>
    </row>
    <row r="481" spans="1:9" x14ac:dyDescent="0.2">
      <c r="A481" s="2">
        <v>13</v>
      </c>
      <c r="B481" s="1" t="s">
        <v>197</v>
      </c>
      <c r="C481" s="4">
        <v>211</v>
      </c>
      <c r="D481" s="8">
        <v>1.66</v>
      </c>
      <c r="E481" s="4">
        <v>101</v>
      </c>
      <c r="F481" s="8">
        <v>2.13</v>
      </c>
      <c r="G481" s="4">
        <v>110</v>
      </c>
      <c r="H481" s="8">
        <v>1.39</v>
      </c>
      <c r="I481" s="4">
        <v>0</v>
      </c>
    </row>
    <row r="482" spans="1:9" x14ac:dyDescent="0.2">
      <c r="A482" s="2">
        <v>14</v>
      </c>
      <c r="B482" s="1" t="s">
        <v>207</v>
      </c>
      <c r="C482" s="4">
        <v>206</v>
      </c>
      <c r="D482" s="8">
        <v>1.62</v>
      </c>
      <c r="E482" s="4">
        <v>199</v>
      </c>
      <c r="F482" s="8">
        <v>4.2</v>
      </c>
      <c r="G482" s="4">
        <v>7</v>
      </c>
      <c r="H482" s="8">
        <v>0.09</v>
      </c>
      <c r="I482" s="4">
        <v>0</v>
      </c>
    </row>
    <row r="483" spans="1:9" x14ac:dyDescent="0.2">
      <c r="A483" s="2">
        <v>15</v>
      </c>
      <c r="B483" s="1" t="s">
        <v>161</v>
      </c>
      <c r="C483" s="4">
        <v>205</v>
      </c>
      <c r="D483" s="8">
        <v>1.62</v>
      </c>
      <c r="E483" s="4">
        <v>25</v>
      </c>
      <c r="F483" s="8">
        <v>0.53</v>
      </c>
      <c r="G483" s="4">
        <v>180</v>
      </c>
      <c r="H483" s="8">
        <v>2.2799999999999998</v>
      </c>
      <c r="I483" s="4">
        <v>0</v>
      </c>
    </row>
    <row r="484" spans="1:9" x14ac:dyDescent="0.2">
      <c r="A484" s="2">
        <v>16</v>
      </c>
      <c r="B484" s="1" t="s">
        <v>206</v>
      </c>
      <c r="C484" s="4">
        <v>202</v>
      </c>
      <c r="D484" s="8">
        <v>1.59</v>
      </c>
      <c r="E484" s="4">
        <v>19</v>
      </c>
      <c r="F484" s="8">
        <v>0.4</v>
      </c>
      <c r="G484" s="4">
        <v>183</v>
      </c>
      <c r="H484" s="8">
        <v>2.31</v>
      </c>
      <c r="I484" s="4">
        <v>0</v>
      </c>
    </row>
    <row r="485" spans="1:9" x14ac:dyDescent="0.2">
      <c r="A485" s="2">
        <v>17</v>
      </c>
      <c r="B485" s="1" t="s">
        <v>174</v>
      </c>
      <c r="C485" s="4">
        <v>201</v>
      </c>
      <c r="D485" s="8">
        <v>1.58</v>
      </c>
      <c r="E485" s="4">
        <v>186</v>
      </c>
      <c r="F485" s="8">
        <v>3.92</v>
      </c>
      <c r="G485" s="4">
        <v>15</v>
      </c>
      <c r="H485" s="8">
        <v>0.19</v>
      </c>
      <c r="I485" s="4">
        <v>0</v>
      </c>
    </row>
    <row r="486" spans="1:9" x14ac:dyDescent="0.2">
      <c r="A486" s="2">
        <v>18</v>
      </c>
      <c r="B486" s="1" t="s">
        <v>195</v>
      </c>
      <c r="C486" s="4">
        <v>192</v>
      </c>
      <c r="D486" s="8">
        <v>1.51</v>
      </c>
      <c r="E486" s="4">
        <v>26</v>
      </c>
      <c r="F486" s="8">
        <v>0.55000000000000004</v>
      </c>
      <c r="G486" s="4">
        <v>166</v>
      </c>
      <c r="H486" s="8">
        <v>2.1</v>
      </c>
      <c r="I486" s="4">
        <v>0</v>
      </c>
    </row>
    <row r="487" spans="1:9" x14ac:dyDescent="0.2">
      <c r="A487" s="2">
        <v>19</v>
      </c>
      <c r="B487" s="1" t="s">
        <v>166</v>
      </c>
      <c r="C487" s="4">
        <v>187</v>
      </c>
      <c r="D487" s="8">
        <v>1.47</v>
      </c>
      <c r="E487" s="4">
        <v>6</v>
      </c>
      <c r="F487" s="8">
        <v>0.13</v>
      </c>
      <c r="G487" s="4">
        <v>181</v>
      </c>
      <c r="H487" s="8">
        <v>2.29</v>
      </c>
      <c r="I487" s="4">
        <v>0</v>
      </c>
    </row>
    <row r="488" spans="1:9" x14ac:dyDescent="0.2">
      <c r="A488" s="2">
        <v>20</v>
      </c>
      <c r="B488" s="1" t="s">
        <v>159</v>
      </c>
      <c r="C488" s="4">
        <v>186</v>
      </c>
      <c r="D488" s="8">
        <v>1.47</v>
      </c>
      <c r="E488" s="4">
        <v>120</v>
      </c>
      <c r="F488" s="8">
        <v>2.5299999999999998</v>
      </c>
      <c r="G488" s="4">
        <v>66</v>
      </c>
      <c r="H488" s="8">
        <v>0.83</v>
      </c>
      <c r="I488" s="4">
        <v>0</v>
      </c>
    </row>
    <row r="489" spans="1:9" x14ac:dyDescent="0.2">
      <c r="A489" s="1"/>
      <c r="C489" s="4"/>
      <c r="D489" s="8"/>
      <c r="E489" s="4"/>
      <c r="F489" s="8"/>
      <c r="G489" s="4"/>
      <c r="H489" s="8"/>
      <c r="I489" s="4"/>
    </row>
    <row r="490" spans="1:9" x14ac:dyDescent="0.2">
      <c r="A490" s="1" t="s">
        <v>22</v>
      </c>
      <c r="C490" s="4"/>
      <c r="D490" s="8"/>
      <c r="E490" s="4"/>
      <c r="F490" s="8"/>
      <c r="G490" s="4"/>
      <c r="H490" s="8"/>
      <c r="I490" s="4"/>
    </row>
    <row r="491" spans="1:9" x14ac:dyDescent="0.2">
      <c r="A491" s="2">
        <v>1</v>
      </c>
      <c r="B491" s="1" t="s">
        <v>162</v>
      </c>
      <c r="C491" s="4">
        <v>730</v>
      </c>
      <c r="D491" s="8">
        <v>5.14</v>
      </c>
      <c r="E491" s="4">
        <v>343</v>
      </c>
      <c r="F491" s="8">
        <v>5.66</v>
      </c>
      <c r="G491" s="4">
        <v>387</v>
      </c>
      <c r="H491" s="8">
        <v>4.76</v>
      </c>
      <c r="I491" s="4">
        <v>0</v>
      </c>
    </row>
    <row r="492" spans="1:9" x14ac:dyDescent="0.2">
      <c r="A492" s="2">
        <v>2</v>
      </c>
      <c r="B492" s="1" t="s">
        <v>172</v>
      </c>
      <c r="C492" s="4">
        <v>472</v>
      </c>
      <c r="D492" s="8">
        <v>3.32</v>
      </c>
      <c r="E492" s="4">
        <v>389</v>
      </c>
      <c r="F492" s="8">
        <v>6.42</v>
      </c>
      <c r="G492" s="4">
        <v>83</v>
      </c>
      <c r="H492" s="8">
        <v>1.02</v>
      </c>
      <c r="I492" s="4">
        <v>0</v>
      </c>
    </row>
    <row r="493" spans="1:9" x14ac:dyDescent="0.2">
      <c r="A493" s="2">
        <v>3</v>
      </c>
      <c r="B493" s="1" t="s">
        <v>169</v>
      </c>
      <c r="C493" s="4">
        <v>424</v>
      </c>
      <c r="D493" s="8">
        <v>2.98</v>
      </c>
      <c r="E493" s="4">
        <v>377</v>
      </c>
      <c r="F493" s="8">
        <v>6.22</v>
      </c>
      <c r="G493" s="4">
        <v>47</v>
      </c>
      <c r="H493" s="8">
        <v>0.57999999999999996</v>
      </c>
      <c r="I493" s="4">
        <v>0</v>
      </c>
    </row>
    <row r="494" spans="1:9" x14ac:dyDescent="0.2">
      <c r="A494" s="2">
        <v>4</v>
      </c>
      <c r="B494" s="1" t="s">
        <v>207</v>
      </c>
      <c r="C494" s="4">
        <v>371</v>
      </c>
      <c r="D494" s="8">
        <v>2.61</v>
      </c>
      <c r="E494" s="4">
        <v>365</v>
      </c>
      <c r="F494" s="8">
        <v>6.02</v>
      </c>
      <c r="G494" s="4">
        <v>6</v>
      </c>
      <c r="H494" s="8">
        <v>7.0000000000000007E-2</v>
      </c>
      <c r="I494" s="4">
        <v>0</v>
      </c>
    </row>
    <row r="495" spans="1:9" x14ac:dyDescent="0.2">
      <c r="A495" s="2">
        <v>5</v>
      </c>
      <c r="B495" s="1" t="s">
        <v>168</v>
      </c>
      <c r="C495" s="4">
        <v>370</v>
      </c>
      <c r="D495" s="8">
        <v>2.6</v>
      </c>
      <c r="E495" s="4">
        <v>284</v>
      </c>
      <c r="F495" s="8">
        <v>4.68</v>
      </c>
      <c r="G495" s="4">
        <v>85</v>
      </c>
      <c r="H495" s="8">
        <v>1.05</v>
      </c>
      <c r="I495" s="4">
        <v>1</v>
      </c>
    </row>
    <row r="496" spans="1:9" x14ac:dyDescent="0.2">
      <c r="A496" s="2">
        <v>6</v>
      </c>
      <c r="B496" s="1" t="s">
        <v>171</v>
      </c>
      <c r="C496" s="4">
        <v>360</v>
      </c>
      <c r="D496" s="8">
        <v>2.5299999999999998</v>
      </c>
      <c r="E496" s="4">
        <v>328</v>
      </c>
      <c r="F496" s="8">
        <v>5.41</v>
      </c>
      <c r="G496" s="4">
        <v>32</v>
      </c>
      <c r="H496" s="8">
        <v>0.39</v>
      </c>
      <c r="I496" s="4">
        <v>0</v>
      </c>
    </row>
    <row r="497" spans="1:9" x14ac:dyDescent="0.2">
      <c r="A497" s="2">
        <v>7</v>
      </c>
      <c r="B497" s="1" t="s">
        <v>175</v>
      </c>
      <c r="C497" s="4">
        <v>284</v>
      </c>
      <c r="D497" s="8">
        <v>2</v>
      </c>
      <c r="E497" s="4">
        <v>227</v>
      </c>
      <c r="F497" s="8">
        <v>3.74</v>
      </c>
      <c r="G497" s="4">
        <v>57</v>
      </c>
      <c r="H497" s="8">
        <v>0.7</v>
      </c>
      <c r="I497" s="4">
        <v>0</v>
      </c>
    </row>
    <row r="498" spans="1:9" x14ac:dyDescent="0.2">
      <c r="A498" s="2">
        <v>8</v>
      </c>
      <c r="B498" s="1" t="s">
        <v>163</v>
      </c>
      <c r="C498" s="4">
        <v>266</v>
      </c>
      <c r="D498" s="8">
        <v>1.87</v>
      </c>
      <c r="E498" s="4">
        <v>13</v>
      </c>
      <c r="F498" s="8">
        <v>0.21</v>
      </c>
      <c r="G498" s="4">
        <v>253</v>
      </c>
      <c r="H498" s="8">
        <v>3.11</v>
      </c>
      <c r="I498" s="4">
        <v>0</v>
      </c>
    </row>
    <row r="499" spans="1:9" x14ac:dyDescent="0.2">
      <c r="A499" s="2">
        <v>9</v>
      </c>
      <c r="B499" s="1" t="s">
        <v>201</v>
      </c>
      <c r="C499" s="4">
        <v>261</v>
      </c>
      <c r="D499" s="8">
        <v>1.84</v>
      </c>
      <c r="E499" s="4">
        <v>42</v>
      </c>
      <c r="F499" s="8">
        <v>0.69</v>
      </c>
      <c r="G499" s="4">
        <v>219</v>
      </c>
      <c r="H499" s="8">
        <v>2.69</v>
      </c>
      <c r="I499" s="4">
        <v>0</v>
      </c>
    </row>
    <row r="500" spans="1:9" x14ac:dyDescent="0.2">
      <c r="A500" s="2">
        <v>10</v>
      </c>
      <c r="B500" s="1" t="s">
        <v>195</v>
      </c>
      <c r="C500" s="4">
        <v>253</v>
      </c>
      <c r="D500" s="8">
        <v>1.78</v>
      </c>
      <c r="E500" s="4">
        <v>46</v>
      </c>
      <c r="F500" s="8">
        <v>0.76</v>
      </c>
      <c r="G500" s="4">
        <v>207</v>
      </c>
      <c r="H500" s="8">
        <v>2.5499999999999998</v>
      </c>
      <c r="I500" s="4">
        <v>0</v>
      </c>
    </row>
    <row r="501" spans="1:9" x14ac:dyDescent="0.2">
      <c r="A501" s="2">
        <v>11</v>
      </c>
      <c r="B501" s="1" t="s">
        <v>192</v>
      </c>
      <c r="C501" s="4">
        <v>236</v>
      </c>
      <c r="D501" s="8">
        <v>1.66</v>
      </c>
      <c r="E501" s="4">
        <v>41</v>
      </c>
      <c r="F501" s="8">
        <v>0.68</v>
      </c>
      <c r="G501" s="4">
        <v>194</v>
      </c>
      <c r="H501" s="8">
        <v>2.39</v>
      </c>
      <c r="I501" s="4">
        <v>1</v>
      </c>
    </row>
    <row r="502" spans="1:9" x14ac:dyDescent="0.2">
      <c r="A502" s="2">
        <v>12</v>
      </c>
      <c r="B502" s="1" t="s">
        <v>159</v>
      </c>
      <c r="C502" s="4">
        <v>234</v>
      </c>
      <c r="D502" s="8">
        <v>1.65</v>
      </c>
      <c r="E502" s="4">
        <v>143</v>
      </c>
      <c r="F502" s="8">
        <v>2.36</v>
      </c>
      <c r="G502" s="4">
        <v>91</v>
      </c>
      <c r="H502" s="8">
        <v>1.1200000000000001</v>
      </c>
      <c r="I502" s="4">
        <v>0</v>
      </c>
    </row>
    <row r="503" spans="1:9" x14ac:dyDescent="0.2">
      <c r="A503" s="2">
        <v>13</v>
      </c>
      <c r="B503" s="1" t="s">
        <v>158</v>
      </c>
      <c r="C503" s="4">
        <v>222</v>
      </c>
      <c r="D503" s="8">
        <v>1.56</v>
      </c>
      <c r="E503" s="4">
        <v>167</v>
      </c>
      <c r="F503" s="8">
        <v>2.75</v>
      </c>
      <c r="G503" s="4">
        <v>55</v>
      </c>
      <c r="H503" s="8">
        <v>0.68</v>
      </c>
      <c r="I503" s="4">
        <v>0</v>
      </c>
    </row>
    <row r="504" spans="1:9" x14ac:dyDescent="0.2">
      <c r="A504" s="2">
        <v>14</v>
      </c>
      <c r="B504" s="1" t="s">
        <v>161</v>
      </c>
      <c r="C504" s="4">
        <v>213</v>
      </c>
      <c r="D504" s="8">
        <v>1.5</v>
      </c>
      <c r="E504" s="4">
        <v>40</v>
      </c>
      <c r="F504" s="8">
        <v>0.66</v>
      </c>
      <c r="G504" s="4">
        <v>173</v>
      </c>
      <c r="H504" s="8">
        <v>2.13</v>
      </c>
      <c r="I504" s="4">
        <v>0</v>
      </c>
    </row>
    <row r="505" spans="1:9" x14ac:dyDescent="0.2">
      <c r="A505" s="2">
        <v>15</v>
      </c>
      <c r="B505" s="1" t="s">
        <v>208</v>
      </c>
      <c r="C505" s="4">
        <v>207</v>
      </c>
      <c r="D505" s="8">
        <v>1.46</v>
      </c>
      <c r="E505" s="4">
        <v>29</v>
      </c>
      <c r="F505" s="8">
        <v>0.48</v>
      </c>
      <c r="G505" s="4">
        <v>178</v>
      </c>
      <c r="H505" s="8">
        <v>2.19</v>
      </c>
      <c r="I505" s="4">
        <v>0</v>
      </c>
    </row>
    <row r="506" spans="1:9" x14ac:dyDescent="0.2">
      <c r="A506" s="2">
        <v>16</v>
      </c>
      <c r="B506" s="1" t="s">
        <v>206</v>
      </c>
      <c r="C506" s="4">
        <v>182</v>
      </c>
      <c r="D506" s="8">
        <v>1.28</v>
      </c>
      <c r="E506" s="4">
        <v>19</v>
      </c>
      <c r="F506" s="8">
        <v>0.31</v>
      </c>
      <c r="G506" s="4">
        <v>163</v>
      </c>
      <c r="H506" s="8">
        <v>2</v>
      </c>
      <c r="I506" s="4">
        <v>0</v>
      </c>
    </row>
    <row r="507" spans="1:9" x14ac:dyDescent="0.2">
      <c r="A507" s="2">
        <v>17</v>
      </c>
      <c r="B507" s="1" t="s">
        <v>200</v>
      </c>
      <c r="C507" s="4">
        <v>180</v>
      </c>
      <c r="D507" s="8">
        <v>1.27</v>
      </c>
      <c r="E507" s="4">
        <v>18</v>
      </c>
      <c r="F507" s="8">
        <v>0.3</v>
      </c>
      <c r="G507" s="4">
        <v>162</v>
      </c>
      <c r="H507" s="8">
        <v>1.99</v>
      </c>
      <c r="I507" s="4">
        <v>0</v>
      </c>
    </row>
    <row r="508" spans="1:9" x14ac:dyDescent="0.2">
      <c r="A508" s="2">
        <v>18</v>
      </c>
      <c r="B508" s="1" t="s">
        <v>198</v>
      </c>
      <c r="C508" s="4">
        <v>178</v>
      </c>
      <c r="D508" s="8">
        <v>1.25</v>
      </c>
      <c r="E508" s="4">
        <v>39</v>
      </c>
      <c r="F508" s="8">
        <v>0.64</v>
      </c>
      <c r="G508" s="4">
        <v>138</v>
      </c>
      <c r="H508" s="8">
        <v>1.7</v>
      </c>
      <c r="I508" s="4">
        <v>1</v>
      </c>
    </row>
    <row r="509" spans="1:9" x14ac:dyDescent="0.2">
      <c r="A509" s="2">
        <v>18</v>
      </c>
      <c r="B509" s="1" t="s">
        <v>160</v>
      </c>
      <c r="C509" s="4">
        <v>178</v>
      </c>
      <c r="D509" s="8">
        <v>1.25</v>
      </c>
      <c r="E509" s="4">
        <v>19</v>
      </c>
      <c r="F509" s="8">
        <v>0.31</v>
      </c>
      <c r="G509" s="4">
        <v>159</v>
      </c>
      <c r="H509" s="8">
        <v>1.95</v>
      </c>
      <c r="I509" s="4">
        <v>0</v>
      </c>
    </row>
    <row r="510" spans="1:9" x14ac:dyDescent="0.2">
      <c r="A510" s="2">
        <v>20</v>
      </c>
      <c r="B510" s="1" t="s">
        <v>173</v>
      </c>
      <c r="C510" s="4">
        <v>176</v>
      </c>
      <c r="D510" s="8">
        <v>1.24</v>
      </c>
      <c r="E510" s="4">
        <v>130</v>
      </c>
      <c r="F510" s="8">
        <v>2.14</v>
      </c>
      <c r="G510" s="4">
        <v>46</v>
      </c>
      <c r="H510" s="8">
        <v>0.56999999999999995</v>
      </c>
      <c r="I510" s="4">
        <v>0</v>
      </c>
    </row>
    <row r="511" spans="1:9" x14ac:dyDescent="0.2">
      <c r="A511" s="1"/>
      <c r="C511" s="4"/>
      <c r="D511" s="8"/>
      <c r="E511" s="4"/>
      <c r="F511" s="8"/>
      <c r="G511" s="4"/>
      <c r="H511" s="8"/>
      <c r="I511" s="4"/>
    </row>
    <row r="512" spans="1:9" x14ac:dyDescent="0.2">
      <c r="A512" s="1" t="s">
        <v>23</v>
      </c>
      <c r="C512" s="4"/>
      <c r="D512" s="8"/>
      <c r="E512" s="4"/>
      <c r="F512" s="8"/>
      <c r="G512" s="4"/>
      <c r="H512" s="8"/>
      <c r="I512" s="4"/>
    </row>
    <row r="513" spans="1:9" x14ac:dyDescent="0.2">
      <c r="A513" s="2">
        <v>1</v>
      </c>
      <c r="B513" s="1" t="s">
        <v>162</v>
      </c>
      <c r="C513" s="4">
        <v>682</v>
      </c>
      <c r="D513" s="8">
        <v>6.76</v>
      </c>
      <c r="E513" s="4">
        <v>367</v>
      </c>
      <c r="F513" s="8">
        <v>8.4600000000000009</v>
      </c>
      <c r="G513" s="4">
        <v>315</v>
      </c>
      <c r="H513" s="8">
        <v>5.5</v>
      </c>
      <c r="I513" s="4">
        <v>0</v>
      </c>
    </row>
    <row r="514" spans="1:9" x14ac:dyDescent="0.2">
      <c r="A514" s="2">
        <v>2</v>
      </c>
      <c r="B514" s="1" t="s">
        <v>169</v>
      </c>
      <c r="C514" s="4">
        <v>356</v>
      </c>
      <c r="D514" s="8">
        <v>3.53</v>
      </c>
      <c r="E514" s="4">
        <v>318</v>
      </c>
      <c r="F514" s="8">
        <v>7.33</v>
      </c>
      <c r="G514" s="4">
        <v>38</v>
      </c>
      <c r="H514" s="8">
        <v>0.66</v>
      </c>
      <c r="I514" s="4">
        <v>0</v>
      </c>
    </row>
    <row r="515" spans="1:9" x14ac:dyDescent="0.2">
      <c r="A515" s="2">
        <v>3</v>
      </c>
      <c r="B515" s="1" t="s">
        <v>172</v>
      </c>
      <c r="C515" s="4">
        <v>342</v>
      </c>
      <c r="D515" s="8">
        <v>3.39</v>
      </c>
      <c r="E515" s="4">
        <v>279</v>
      </c>
      <c r="F515" s="8">
        <v>6.43</v>
      </c>
      <c r="G515" s="4">
        <v>63</v>
      </c>
      <c r="H515" s="8">
        <v>1.1000000000000001</v>
      </c>
      <c r="I515" s="4">
        <v>0</v>
      </c>
    </row>
    <row r="516" spans="1:9" x14ac:dyDescent="0.2">
      <c r="A516" s="2">
        <v>4</v>
      </c>
      <c r="B516" s="1" t="s">
        <v>168</v>
      </c>
      <c r="C516" s="4">
        <v>283</v>
      </c>
      <c r="D516" s="8">
        <v>2.8</v>
      </c>
      <c r="E516" s="4">
        <v>225</v>
      </c>
      <c r="F516" s="8">
        <v>5.19</v>
      </c>
      <c r="G516" s="4">
        <v>58</v>
      </c>
      <c r="H516" s="8">
        <v>1.01</v>
      </c>
      <c r="I516" s="4">
        <v>0</v>
      </c>
    </row>
    <row r="517" spans="1:9" x14ac:dyDescent="0.2">
      <c r="A517" s="2">
        <v>5</v>
      </c>
      <c r="B517" s="1" t="s">
        <v>171</v>
      </c>
      <c r="C517" s="4">
        <v>232</v>
      </c>
      <c r="D517" s="8">
        <v>2.2999999999999998</v>
      </c>
      <c r="E517" s="4">
        <v>218</v>
      </c>
      <c r="F517" s="8">
        <v>5.0199999999999996</v>
      </c>
      <c r="G517" s="4">
        <v>14</v>
      </c>
      <c r="H517" s="8">
        <v>0.24</v>
      </c>
      <c r="I517" s="4">
        <v>0</v>
      </c>
    </row>
    <row r="518" spans="1:9" x14ac:dyDescent="0.2">
      <c r="A518" s="2">
        <v>6</v>
      </c>
      <c r="B518" s="1" t="s">
        <v>175</v>
      </c>
      <c r="C518" s="4">
        <v>226</v>
      </c>
      <c r="D518" s="8">
        <v>2.2400000000000002</v>
      </c>
      <c r="E518" s="4">
        <v>166</v>
      </c>
      <c r="F518" s="8">
        <v>3.83</v>
      </c>
      <c r="G518" s="4">
        <v>60</v>
      </c>
      <c r="H518" s="8">
        <v>1.05</v>
      </c>
      <c r="I518" s="4">
        <v>0</v>
      </c>
    </row>
    <row r="519" spans="1:9" x14ac:dyDescent="0.2">
      <c r="A519" s="2">
        <v>7</v>
      </c>
      <c r="B519" s="1" t="s">
        <v>163</v>
      </c>
      <c r="C519" s="4">
        <v>196</v>
      </c>
      <c r="D519" s="8">
        <v>1.94</v>
      </c>
      <c r="E519" s="4">
        <v>10</v>
      </c>
      <c r="F519" s="8">
        <v>0.23</v>
      </c>
      <c r="G519" s="4">
        <v>184</v>
      </c>
      <c r="H519" s="8">
        <v>3.21</v>
      </c>
      <c r="I519" s="4">
        <v>2</v>
      </c>
    </row>
    <row r="520" spans="1:9" x14ac:dyDescent="0.2">
      <c r="A520" s="2">
        <v>8</v>
      </c>
      <c r="B520" s="1" t="s">
        <v>158</v>
      </c>
      <c r="C520" s="4">
        <v>176</v>
      </c>
      <c r="D520" s="8">
        <v>1.74</v>
      </c>
      <c r="E520" s="4">
        <v>118</v>
      </c>
      <c r="F520" s="8">
        <v>2.72</v>
      </c>
      <c r="G520" s="4">
        <v>58</v>
      </c>
      <c r="H520" s="8">
        <v>1.01</v>
      </c>
      <c r="I520" s="4">
        <v>0</v>
      </c>
    </row>
    <row r="521" spans="1:9" x14ac:dyDescent="0.2">
      <c r="A521" s="2">
        <v>9</v>
      </c>
      <c r="B521" s="1" t="s">
        <v>159</v>
      </c>
      <c r="C521" s="4">
        <v>166</v>
      </c>
      <c r="D521" s="8">
        <v>1.64</v>
      </c>
      <c r="E521" s="4">
        <v>109</v>
      </c>
      <c r="F521" s="8">
        <v>2.5099999999999998</v>
      </c>
      <c r="G521" s="4">
        <v>57</v>
      </c>
      <c r="H521" s="8">
        <v>1</v>
      </c>
      <c r="I521" s="4">
        <v>0</v>
      </c>
    </row>
    <row r="522" spans="1:9" x14ac:dyDescent="0.2">
      <c r="A522" s="2">
        <v>10</v>
      </c>
      <c r="B522" s="1" t="s">
        <v>173</v>
      </c>
      <c r="C522" s="4">
        <v>155</v>
      </c>
      <c r="D522" s="8">
        <v>1.54</v>
      </c>
      <c r="E522" s="4">
        <v>107</v>
      </c>
      <c r="F522" s="8">
        <v>2.4700000000000002</v>
      </c>
      <c r="G522" s="4">
        <v>47</v>
      </c>
      <c r="H522" s="8">
        <v>0.82</v>
      </c>
      <c r="I522" s="4">
        <v>1</v>
      </c>
    </row>
    <row r="523" spans="1:9" x14ac:dyDescent="0.2">
      <c r="A523" s="2">
        <v>11</v>
      </c>
      <c r="B523" s="1" t="s">
        <v>198</v>
      </c>
      <c r="C523" s="4">
        <v>153</v>
      </c>
      <c r="D523" s="8">
        <v>1.52</v>
      </c>
      <c r="E523" s="4">
        <v>26</v>
      </c>
      <c r="F523" s="8">
        <v>0.6</v>
      </c>
      <c r="G523" s="4">
        <v>127</v>
      </c>
      <c r="H523" s="8">
        <v>2.2200000000000002</v>
      </c>
      <c r="I523" s="4">
        <v>0</v>
      </c>
    </row>
    <row r="524" spans="1:9" x14ac:dyDescent="0.2">
      <c r="A524" s="2">
        <v>12</v>
      </c>
      <c r="B524" s="1" t="s">
        <v>192</v>
      </c>
      <c r="C524" s="4">
        <v>152</v>
      </c>
      <c r="D524" s="8">
        <v>1.51</v>
      </c>
      <c r="E524" s="4">
        <v>21</v>
      </c>
      <c r="F524" s="8">
        <v>0.48</v>
      </c>
      <c r="G524" s="4">
        <v>131</v>
      </c>
      <c r="H524" s="8">
        <v>2.29</v>
      </c>
      <c r="I524" s="4">
        <v>0</v>
      </c>
    </row>
    <row r="525" spans="1:9" x14ac:dyDescent="0.2">
      <c r="A525" s="2">
        <v>13</v>
      </c>
      <c r="B525" s="1" t="s">
        <v>160</v>
      </c>
      <c r="C525" s="4">
        <v>145</v>
      </c>
      <c r="D525" s="8">
        <v>1.44</v>
      </c>
      <c r="E525" s="4">
        <v>19</v>
      </c>
      <c r="F525" s="8">
        <v>0.44</v>
      </c>
      <c r="G525" s="4">
        <v>126</v>
      </c>
      <c r="H525" s="8">
        <v>2.2000000000000002</v>
      </c>
      <c r="I525" s="4">
        <v>0</v>
      </c>
    </row>
    <row r="526" spans="1:9" x14ac:dyDescent="0.2">
      <c r="A526" s="2">
        <v>14</v>
      </c>
      <c r="B526" s="1" t="s">
        <v>161</v>
      </c>
      <c r="C526" s="4">
        <v>138</v>
      </c>
      <c r="D526" s="8">
        <v>1.37</v>
      </c>
      <c r="E526" s="4">
        <v>26</v>
      </c>
      <c r="F526" s="8">
        <v>0.6</v>
      </c>
      <c r="G526" s="4">
        <v>112</v>
      </c>
      <c r="H526" s="8">
        <v>1.96</v>
      </c>
      <c r="I526" s="4">
        <v>0</v>
      </c>
    </row>
    <row r="527" spans="1:9" x14ac:dyDescent="0.2">
      <c r="A527" s="2">
        <v>15</v>
      </c>
      <c r="B527" s="1" t="s">
        <v>197</v>
      </c>
      <c r="C527" s="4">
        <v>137</v>
      </c>
      <c r="D527" s="8">
        <v>1.36</v>
      </c>
      <c r="E527" s="4">
        <v>76</v>
      </c>
      <c r="F527" s="8">
        <v>1.75</v>
      </c>
      <c r="G527" s="4">
        <v>61</v>
      </c>
      <c r="H527" s="8">
        <v>1.07</v>
      </c>
      <c r="I527" s="4">
        <v>0</v>
      </c>
    </row>
    <row r="528" spans="1:9" x14ac:dyDescent="0.2">
      <c r="A528" s="2">
        <v>16</v>
      </c>
      <c r="B528" s="1" t="s">
        <v>170</v>
      </c>
      <c r="C528" s="4">
        <v>120</v>
      </c>
      <c r="D528" s="8">
        <v>1.19</v>
      </c>
      <c r="E528" s="4">
        <v>105</v>
      </c>
      <c r="F528" s="8">
        <v>2.42</v>
      </c>
      <c r="G528" s="4">
        <v>15</v>
      </c>
      <c r="H528" s="8">
        <v>0.26</v>
      </c>
      <c r="I528" s="4">
        <v>0</v>
      </c>
    </row>
    <row r="529" spans="1:9" x14ac:dyDescent="0.2">
      <c r="A529" s="2">
        <v>17</v>
      </c>
      <c r="B529" s="1" t="s">
        <v>177</v>
      </c>
      <c r="C529" s="4">
        <v>119</v>
      </c>
      <c r="D529" s="8">
        <v>1.18</v>
      </c>
      <c r="E529" s="4">
        <v>12</v>
      </c>
      <c r="F529" s="8">
        <v>0.28000000000000003</v>
      </c>
      <c r="G529" s="4">
        <v>107</v>
      </c>
      <c r="H529" s="8">
        <v>1.87</v>
      </c>
      <c r="I529" s="4">
        <v>0</v>
      </c>
    </row>
    <row r="530" spans="1:9" x14ac:dyDescent="0.2">
      <c r="A530" s="2">
        <v>18</v>
      </c>
      <c r="B530" s="1" t="s">
        <v>195</v>
      </c>
      <c r="C530" s="4">
        <v>117</v>
      </c>
      <c r="D530" s="8">
        <v>1.1599999999999999</v>
      </c>
      <c r="E530" s="4">
        <v>12</v>
      </c>
      <c r="F530" s="8">
        <v>0.28000000000000003</v>
      </c>
      <c r="G530" s="4">
        <v>105</v>
      </c>
      <c r="H530" s="8">
        <v>1.83</v>
      </c>
      <c r="I530" s="4">
        <v>0</v>
      </c>
    </row>
    <row r="531" spans="1:9" x14ac:dyDescent="0.2">
      <c r="A531" s="2">
        <v>19</v>
      </c>
      <c r="B531" s="1" t="s">
        <v>209</v>
      </c>
      <c r="C531" s="4">
        <v>114</v>
      </c>
      <c r="D531" s="8">
        <v>1.1299999999999999</v>
      </c>
      <c r="E531" s="4">
        <v>51</v>
      </c>
      <c r="F531" s="8">
        <v>1.18</v>
      </c>
      <c r="G531" s="4">
        <v>63</v>
      </c>
      <c r="H531" s="8">
        <v>1.1000000000000001</v>
      </c>
      <c r="I531" s="4">
        <v>0</v>
      </c>
    </row>
    <row r="532" spans="1:9" x14ac:dyDescent="0.2">
      <c r="A532" s="2">
        <v>20</v>
      </c>
      <c r="B532" s="1" t="s">
        <v>206</v>
      </c>
      <c r="C532" s="4">
        <v>112</v>
      </c>
      <c r="D532" s="8">
        <v>1.1100000000000001</v>
      </c>
      <c r="E532" s="4">
        <v>11</v>
      </c>
      <c r="F532" s="8">
        <v>0.25</v>
      </c>
      <c r="G532" s="4">
        <v>101</v>
      </c>
      <c r="H532" s="8">
        <v>1.76</v>
      </c>
      <c r="I532" s="4">
        <v>0</v>
      </c>
    </row>
    <row r="533" spans="1:9" x14ac:dyDescent="0.2">
      <c r="A533" s="2">
        <v>20</v>
      </c>
      <c r="B533" s="1" t="s">
        <v>201</v>
      </c>
      <c r="C533" s="4">
        <v>112</v>
      </c>
      <c r="D533" s="8">
        <v>1.1100000000000001</v>
      </c>
      <c r="E533" s="4">
        <v>10</v>
      </c>
      <c r="F533" s="8">
        <v>0.23</v>
      </c>
      <c r="G533" s="4">
        <v>102</v>
      </c>
      <c r="H533" s="8">
        <v>1.78</v>
      </c>
      <c r="I533" s="4">
        <v>0</v>
      </c>
    </row>
    <row r="534" spans="1:9" x14ac:dyDescent="0.2">
      <c r="A534" s="1"/>
      <c r="C534" s="4"/>
      <c r="D534" s="8"/>
      <c r="E534" s="4"/>
      <c r="F534" s="8"/>
      <c r="G534" s="4"/>
      <c r="H534" s="8"/>
      <c r="I534" s="4"/>
    </row>
    <row r="535" spans="1:9" x14ac:dyDescent="0.2">
      <c r="A535" s="1" t="s">
        <v>24</v>
      </c>
      <c r="C535" s="4"/>
      <c r="D535" s="8"/>
      <c r="E535" s="4"/>
      <c r="F535" s="8"/>
      <c r="G535" s="4"/>
      <c r="H535" s="8"/>
      <c r="I535" s="4"/>
    </row>
    <row r="536" spans="1:9" x14ac:dyDescent="0.2">
      <c r="A536" s="2">
        <v>1</v>
      </c>
      <c r="B536" s="1" t="s">
        <v>162</v>
      </c>
      <c r="C536" s="4">
        <v>738</v>
      </c>
      <c r="D536" s="8">
        <v>6.14</v>
      </c>
      <c r="E536" s="4">
        <v>230</v>
      </c>
      <c r="F536" s="8">
        <v>5.42</v>
      </c>
      <c r="G536" s="4">
        <v>508</v>
      </c>
      <c r="H536" s="8">
        <v>6.54</v>
      </c>
      <c r="I536" s="4">
        <v>0</v>
      </c>
    </row>
    <row r="537" spans="1:9" x14ac:dyDescent="0.2">
      <c r="A537" s="2">
        <v>2</v>
      </c>
      <c r="B537" s="1" t="s">
        <v>172</v>
      </c>
      <c r="C537" s="4">
        <v>409</v>
      </c>
      <c r="D537" s="8">
        <v>3.4</v>
      </c>
      <c r="E537" s="4">
        <v>325</v>
      </c>
      <c r="F537" s="8">
        <v>7.67</v>
      </c>
      <c r="G537" s="4">
        <v>84</v>
      </c>
      <c r="H537" s="8">
        <v>1.08</v>
      </c>
      <c r="I537" s="4">
        <v>0</v>
      </c>
    </row>
    <row r="538" spans="1:9" x14ac:dyDescent="0.2">
      <c r="A538" s="2">
        <v>3</v>
      </c>
      <c r="B538" s="1" t="s">
        <v>171</v>
      </c>
      <c r="C538" s="4">
        <v>346</v>
      </c>
      <c r="D538" s="8">
        <v>2.88</v>
      </c>
      <c r="E538" s="4">
        <v>318</v>
      </c>
      <c r="F538" s="8">
        <v>7.5</v>
      </c>
      <c r="G538" s="4">
        <v>28</v>
      </c>
      <c r="H538" s="8">
        <v>0.36</v>
      </c>
      <c r="I538" s="4">
        <v>0</v>
      </c>
    </row>
    <row r="539" spans="1:9" x14ac:dyDescent="0.2">
      <c r="A539" s="2">
        <v>4</v>
      </c>
      <c r="B539" s="1" t="s">
        <v>169</v>
      </c>
      <c r="C539" s="4">
        <v>296</v>
      </c>
      <c r="D539" s="8">
        <v>2.46</v>
      </c>
      <c r="E539" s="4">
        <v>260</v>
      </c>
      <c r="F539" s="8">
        <v>6.13</v>
      </c>
      <c r="G539" s="4">
        <v>36</v>
      </c>
      <c r="H539" s="8">
        <v>0.46</v>
      </c>
      <c r="I539" s="4">
        <v>0</v>
      </c>
    </row>
    <row r="540" spans="1:9" x14ac:dyDescent="0.2">
      <c r="A540" s="2">
        <v>5</v>
      </c>
      <c r="B540" s="1" t="s">
        <v>163</v>
      </c>
      <c r="C540" s="4">
        <v>295</v>
      </c>
      <c r="D540" s="8">
        <v>2.4500000000000002</v>
      </c>
      <c r="E540" s="4">
        <v>6</v>
      </c>
      <c r="F540" s="8">
        <v>0.14000000000000001</v>
      </c>
      <c r="G540" s="4">
        <v>289</v>
      </c>
      <c r="H540" s="8">
        <v>3.72</v>
      </c>
      <c r="I540" s="4">
        <v>0</v>
      </c>
    </row>
    <row r="541" spans="1:9" x14ac:dyDescent="0.2">
      <c r="A541" s="2">
        <v>6</v>
      </c>
      <c r="B541" s="1" t="s">
        <v>175</v>
      </c>
      <c r="C541" s="4">
        <v>280</v>
      </c>
      <c r="D541" s="8">
        <v>2.33</v>
      </c>
      <c r="E541" s="4">
        <v>208</v>
      </c>
      <c r="F541" s="8">
        <v>4.91</v>
      </c>
      <c r="G541" s="4">
        <v>72</v>
      </c>
      <c r="H541" s="8">
        <v>0.93</v>
      </c>
      <c r="I541" s="4">
        <v>0</v>
      </c>
    </row>
    <row r="542" spans="1:9" x14ac:dyDescent="0.2">
      <c r="A542" s="2">
        <v>7</v>
      </c>
      <c r="B542" s="1" t="s">
        <v>168</v>
      </c>
      <c r="C542" s="4">
        <v>265</v>
      </c>
      <c r="D542" s="8">
        <v>2.2000000000000002</v>
      </c>
      <c r="E542" s="4">
        <v>189</v>
      </c>
      <c r="F542" s="8">
        <v>4.46</v>
      </c>
      <c r="G542" s="4">
        <v>76</v>
      </c>
      <c r="H542" s="8">
        <v>0.98</v>
      </c>
      <c r="I542" s="4">
        <v>0</v>
      </c>
    </row>
    <row r="543" spans="1:9" x14ac:dyDescent="0.2">
      <c r="A543" s="2">
        <v>8</v>
      </c>
      <c r="B543" s="1" t="s">
        <v>201</v>
      </c>
      <c r="C543" s="4">
        <v>228</v>
      </c>
      <c r="D543" s="8">
        <v>1.9</v>
      </c>
      <c r="E543" s="4">
        <v>23</v>
      </c>
      <c r="F543" s="8">
        <v>0.54</v>
      </c>
      <c r="G543" s="4">
        <v>205</v>
      </c>
      <c r="H543" s="8">
        <v>2.64</v>
      </c>
      <c r="I543" s="4">
        <v>0</v>
      </c>
    </row>
    <row r="544" spans="1:9" x14ac:dyDescent="0.2">
      <c r="A544" s="2">
        <v>9</v>
      </c>
      <c r="B544" s="1" t="s">
        <v>207</v>
      </c>
      <c r="C544" s="4">
        <v>226</v>
      </c>
      <c r="D544" s="8">
        <v>1.88</v>
      </c>
      <c r="E544" s="4">
        <v>224</v>
      </c>
      <c r="F544" s="8">
        <v>5.28</v>
      </c>
      <c r="G544" s="4">
        <v>2</v>
      </c>
      <c r="H544" s="8">
        <v>0.03</v>
      </c>
      <c r="I544" s="4">
        <v>0</v>
      </c>
    </row>
    <row r="545" spans="1:9" x14ac:dyDescent="0.2">
      <c r="A545" s="2">
        <v>10</v>
      </c>
      <c r="B545" s="1" t="s">
        <v>159</v>
      </c>
      <c r="C545" s="4">
        <v>218</v>
      </c>
      <c r="D545" s="8">
        <v>1.81</v>
      </c>
      <c r="E545" s="4">
        <v>123</v>
      </c>
      <c r="F545" s="8">
        <v>2.9</v>
      </c>
      <c r="G545" s="4">
        <v>95</v>
      </c>
      <c r="H545" s="8">
        <v>1.22</v>
      </c>
      <c r="I545" s="4">
        <v>0</v>
      </c>
    </row>
    <row r="546" spans="1:9" x14ac:dyDescent="0.2">
      <c r="A546" s="2">
        <v>11</v>
      </c>
      <c r="B546" s="1" t="s">
        <v>195</v>
      </c>
      <c r="C546" s="4">
        <v>203</v>
      </c>
      <c r="D546" s="8">
        <v>1.69</v>
      </c>
      <c r="E546" s="4">
        <v>17</v>
      </c>
      <c r="F546" s="8">
        <v>0.4</v>
      </c>
      <c r="G546" s="4">
        <v>186</v>
      </c>
      <c r="H546" s="8">
        <v>2.39</v>
      </c>
      <c r="I546" s="4">
        <v>0</v>
      </c>
    </row>
    <row r="547" spans="1:9" x14ac:dyDescent="0.2">
      <c r="A547" s="2">
        <v>11</v>
      </c>
      <c r="B547" s="1" t="s">
        <v>160</v>
      </c>
      <c r="C547" s="4">
        <v>203</v>
      </c>
      <c r="D547" s="8">
        <v>1.69</v>
      </c>
      <c r="E547" s="4">
        <v>16</v>
      </c>
      <c r="F547" s="8">
        <v>0.38</v>
      </c>
      <c r="G547" s="4">
        <v>187</v>
      </c>
      <c r="H547" s="8">
        <v>2.41</v>
      </c>
      <c r="I547" s="4">
        <v>0</v>
      </c>
    </row>
    <row r="548" spans="1:9" x14ac:dyDescent="0.2">
      <c r="A548" s="2">
        <v>13</v>
      </c>
      <c r="B548" s="1" t="s">
        <v>192</v>
      </c>
      <c r="C548" s="4">
        <v>193</v>
      </c>
      <c r="D548" s="8">
        <v>1.61</v>
      </c>
      <c r="E548" s="4">
        <v>17</v>
      </c>
      <c r="F548" s="8">
        <v>0.4</v>
      </c>
      <c r="G548" s="4">
        <v>176</v>
      </c>
      <c r="H548" s="8">
        <v>2.2599999999999998</v>
      </c>
      <c r="I548" s="4">
        <v>0</v>
      </c>
    </row>
    <row r="549" spans="1:9" x14ac:dyDescent="0.2">
      <c r="A549" s="2">
        <v>14</v>
      </c>
      <c r="B549" s="1" t="s">
        <v>173</v>
      </c>
      <c r="C549" s="4">
        <v>174</v>
      </c>
      <c r="D549" s="8">
        <v>1.45</v>
      </c>
      <c r="E549" s="4">
        <v>105</v>
      </c>
      <c r="F549" s="8">
        <v>2.48</v>
      </c>
      <c r="G549" s="4">
        <v>69</v>
      </c>
      <c r="H549" s="8">
        <v>0.89</v>
      </c>
      <c r="I549" s="4">
        <v>0</v>
      </c>
    </row>
    <row r="550" spans="1:9" x14ac:dyDescent="0.2">
      <c r="A550" s="2">
        <v>15</v>
      </c>
      <c r="B550" s="1" t="s">
        <v>197</v>
      </c>
      <c r="C550" s="4">
        <v>171</v>
      </c>
      <c r="D550" s="8">
        <v>1.42</v>
      </c>
      <c r="E550" s="4">
        <v>100</v>
      </c>
      <c r="F550" s="8">
        <v>2.36</v>
      </c>
      <c r="G550" s="4">
        <v>71</v>
      </c>
      <c r="H550" s="8">
        <v>0.91</v>
      </c>
      <c r="I550" s="4">
        <v>0</v>
      </c>
    </row>
    <row r="551" spans="1:9" x14ac:dyDescent="0.2">
      <c r="A551" s="2">
        <v>16</v>
      </c>
      <c r="B551" s="1" t="s">
        <v>206</v>
      </c>
      <c r="C551" s="4">
        <v>166</v>
      </c>
      <c r="D551" s="8">
        <v>1.38</v>
      </c>
      <c r="E551" s="4">
        <v>13</v>
      </c>
      <c r="F551" s="8">
        <v>0.31</v>
      </c>
      <c r="G551" s="4">
        <v>153</v>
      </c>
      <c r="H551" s="8">
        <v>1.97</v>
      </c>
      <c r="I551" s="4">
        <v>0</v>
      </c>
    </row>
    <row r="552" spans="1:9" x14ac:dyDescent="0.2">
      <c r="A552" s="2">
        <v>17</v>
      </c>
      <c r="B552" s="1" t="s">
        <v>161</v>
      </c>
      <c r="C552" s="4">
        <v>163</v>
      </c>
      <c r="D552" s="8">
        <v>1.36</v>
      </c>
      <c r="E552" s="4">
        <v>12</v>
      </c>
      <c r="F552" s="8">
        <v>0.28000000000000003</v>
      </c>
      <c r="G552" s="4">
        <v>151</v>
      </c>
      <c r="H552" s="8">
        <v>1.94</v>
      </c>
      <c r="I552" s="4">
        <v>0</v>
      </c>
    </row>
    <row r="553" spans="1:9" x14ac:dyDescent="0.2">
      <c r="A553" s="2">
        <v>18</v>
      </c>
      <c r="B553" s="1" t="s">
        <v>210</v>
      </c>
      <c r="C553" s="4">
        <v>157</v>
      </c>
      <c r="D553" s="8">
        <v>1.31</v>
      </c>
      <c r="E553" s="4">
        <v>27</v>
      </c>
      <c r="F553" s="8">
        <v>0.64</v>
      </c>
      <c r="G553" s="4">
        <v>130</v>
      </c>
      <c r="H553" s="8">
        <v>1.67</v>
      </c>
      <c r="I553" s="4">
        <v>0</v>
      </c>
    </row>
    <row r="554" spans="1:9" x14ac:dyDescent="0.2">
      <c r="A554" s="2">
        <v>19</v>
      </c>
      <c r="B554" s="1" t="s">
        <v>208</v>
      </c>
      <c r="C554" s="4">
        <v>152</v>
      </c>
      <c r="D554" s="8">
        <v>1.26</v>
      </c>
      <c r="E554" s="4">
        <v>11</v>
      </c>
      <c r="F554" s="8">
        <v>0.26</v>
      </c>
      <c r="G554" s="4">
        <v>141</v>
      </c>
      <c r="H554" s="8">
        <v>1.81</v>
      </c>
      <c r="I554" s="4">
        <v>0</v>
      </c>
    </row>
    <row r="555" spans="1:9" x14ac:dyDescent="0.2">
      <c r="A555" s="2">
        <v>19</v>
      </c>
      <c r="B555" s="1" t="s">
        <v>158</v>
      </c>
      <c r="C555" s="4">
        <v>152</v>
      </c>
      <c r="D555" s="8">
        <v>1.26</v>
      </c>
      <c r="E555" s="4">
        <v>87</v>
      </c>
      <c r="F555" s="8">
        <v>2.0499999999999998</v>
      </c>
      <c r="G555" s="4">
        <v>65</v>
      </c>
      <c r="H555" s="8">
        <v>0.84</v>
      </c>
      <c r="I555" s="4">
        <v>0</v>
      </c>
    </row>
    <row r="556" spans="1:9" x14ac:dyDescent="0.2">
      <c r="A556" s="1"/>
      <c r="C556" s="4"/>
      <c r="D556" s="8"/>
      <c r="E556" s="4"/>
      <c r="F556" s="8"/>
      <c r="G556" s="4"/>
      <c r="H556" s="8"/>
      <c r="I556" s="4"/>
    </row>
    <row r="557" spans="1:9" x14ac:dyDescent="0.2">
      <c r="A557" s="1" t="s">
        <v>25</v>
      </c>
      <c r="C557" s="4"/>
      <c r="D557" s="8"/>
      <c r="E557" s="4"/>
      <c r="F557" s="8"/>
      <c r="G557" s="4"/>
      <c r="H557" s="8"/>
      <c r="I557" s="4"/>
    </row>
    <row r="558" spans="1:9" x14ac:dyDescent="0.2">
      <c r="A558" s="2">
        <v>1</v>
      </c>
      <c r="B558" s="1" t="s">
        <v>199</v>
      </c>
      <c r="C558" s="4">
        <v>16</v>
      </c>
      <c r="D558" s="8">
        <v>11.94</v>
      </c>
      <c r="E558" s="4">
        <v>1</v>
      </c>
      <c r="F558" s="8">
        <v>3.57</v>
      </c>
      <c r="G558" s="4">
        <v>15</v>
      </c>
      <c r="H558" s="8">
        <v>14.15</v>
      </c>
      <c r="I558" s="4">
        <v>0</v>
      </c>
    </row>
    <row r="559" spans="1:9" x14ac:dyDescent="0.2">
      <c r="A559" s="2">
        <v>2</v>
      </c>
      <c r="B559" s="1" t="s">
        <v>168</v>
      </c>
      <c r="C559" s="4">
        <v>15</v>
      </c>
      <c r="D559" s="8">
        <v>11.19</v>
      </c>
      <c r="E559" s="4">
        <v>8</v>
      </c>
      <c r="F559" s="8">
        <v>28.57</v>
      </c>
      <c r="G559" s="4">
        <v>7</v>
      </c>
      <c r="H559" s="8">
        <v>6.6</v>
      </c>
      <c r="I559" s="4">
        <v>0</v>
      </c>
    </row>
    <row r="560" spans="1:9" x14ac:dyDescent="0.2">
      <c r="A560" s="2">
        <v>3</v>
      </c>
      <c r="B560" s="1" t="s">
        <v>159</v>
      </c>
      <c r="C560" s="4">
        <v>11</v>
      </c>
      <c r="D560" s="8">
        <v>8.2100000000000009</v>
      </c>
      <c r="E560" s="4">
        <v>7</v>
      </c>
      <c r="F560" s="8">
        <v>25</v>
      </c>
      <c r="G560" s="4">
        <v>4</v>
      </c>
      <c r="H560" s="8">
        <v>3.77</v>
      </c>
      <c r="I560" s="4">
        <v>0</v>
      </c>
    </row>
    <row r="561" spans="1:9" x14ac:dyDescent="0.2">
      <c r="A561" s="2">
        <v>4</v>
      </c>
      <c r="B561" s="1" t="s">
        <v>190</v>
      </c>
      <c r="C561" s="4">
        <v>10</v>
      </c>
      <c r="D561" s="8">
        <v>7.46</v>
      </c>
      <c r="E561" s="4">
        <v>2</v>
      </c>
      <c r="F561" s="8">
        <v>7.14</v>
      </c>
      <c r="G561" s="4">
        <v>8</v>
      </c>
      <c r="H561" s="8">
        <v>7.55</v>
      </c>
      <c r="I561" s="4">
        <v>0</v>
      </c>
    </row>
    <row r="562" spans="1:9" x14ac:dyDescent="0.2">
      <c r="A562" s="2">
        <v>5</v>
      </c>
      <c r="B562" s="1" t="s">
        <v>216</v>
      </c>
      <c r="C562" s="4">
        <v>5</v>
      </c>
      <c r="D562" s="8">
        <v>3.73</v>
      </c>
      <c r="E562" s="4">
        <v>2</v>
      </c>
      <c r="F562" s="8">
        <v>7.14</v>
      </c>
      <c r="G562" s="4">
        <v>3</v>
      </c>
      <c r="H562" s="8">
        <v>2.83</v>
      </c>
      <c r="I562" s="4">
        <v>0</v>
      </c>
    </row>
    <row r="563" spans="1:9" x14ac:dyDescent="0.2">
      <c r="A563" s="2">
        <v>6</v>
      </c>
      <c r="B563" s="1" t="s">
        <v>177</v>
      </c>
      <c r="C563" s="4">
        <v>3</v>
      </c>
      <c r="D563" s="8">
        <v>2.2400000000000002</v>
      </c>
      <c r="E563" s="4">
        <v>1</v>
      </c>
      <c r="F563" s="8">
        <v>3.57</v>
      </c>
      <c r="G563" s="4">
        <v>2</v>
      </c>
      <c r="H563" s="8">
        <v>1.89</v>
      </c>
      <c r="I563" s="4">
        <v>0</v>
      </c>
    </row>
    <row r="564" spans="1:9" x14ac:dyDescent="0.2">
      <c r="A564" s="2">
        <v>6</v>
      </c>
      <c r="B564" s="1" t="s">
        <v>212</v>
      </c>
      <c r="C564" s="4">
        <v>3</v>
      </c>
      <c r="D564" s="8">
        <v>2.2400000000000002</v>
      </c>
      <c r="E564" s="4">
        <v>0</v>
      </c>
      <c r="F564" s="8">
        <v>0</v>
      </c>
      <c r="G564" s="4">
        <v>3</v>
      </c>
      <c r="H564" s="8">
        <v>2.83</v>
      </c>
      <c r="I564" s="4">
        <v>0</v>
      </c>
    </row>
    <row r="565" spans="1:9" x14ac:dyDescent="0.2">
      <c r="A565" s="2">
        <v>6</v>
      </c>
      <c r="B565" s="1" t="s">
        <v>214</v>
      </c>
      <c r="C565" s="4">
        <v>3</v>
      </c>
      <c r="D565" s="8">
        <v>2.2400000000000002</v>
      </c>
      <c r="E565" s="4">
        <v>1</v>
      </c>
      <c r="F565" s="8">
        <v>3.57</v>
      </c>
      <c r="G565" s="4">
        <v>2</v>
      </c>
      <c r="H565" s="8">
        <v>1.89</v>
      </c>
      <c r="I565" s="4">
        <v>0</v>
      </c>
    </row>
    <row r="566" spans="1:9" x14ac:dyDescent="0.2">
      <c r="A566" s="2">
        <v>6</v>
      </c>
      <c r="B566" s="1" t="s">
        <v>169</v>
      </c>
      <c r="C566" s="4">
        <v>3</v>
      </c>
      <c r="D566" s="8">
        <v>2.2400000000000002</v>
      </c>
      <c r="E566" s="4">
        <v>1</v>
      </c>
      <c r="F566" s="8">
        <v>3.57</v>
      </c>
      <c r="G566" s="4">
        <v>2</v>
      </c>
      <c r="H566" s="8">
        <v>1.89</v>
      </c>
      <c r="I566" s="4">
        <v>0</v>
      </c>
    </row>
    <row r="567" spans="1:9" x14ac:dyDescent="0.2">
      <c r="A567" s="2">
        <v>6</v>
      </c>
      <c r="B567" s="1" t="s">
        <v>191</v>
      </c>
      <c r="C567" s="4">
        <v>3</v>
      </c>
      <c r="D567" s="8">
        <v>2.2400000000000002</v>
      </c>
      <c r="E567" s="4">
        <v>0</v>
      </c>
      <c r="F567" s="8">
        <v>0</v>
      </c>
      <c r="G567" s="4">
        <v>3</v>
      </c>
      <c r="H567" s="8">
        <v>2.83</v>
      </c>
      <c r="I567" s="4">
        <v>0</v>
      </c>
    </row>
    <row r="568" spans="1:9" x14ac:dyDescent="0.2">
      <c r="A568" s="2">
        <v>6</v>
      </c>
      <c r="B568" s="1" t="s">
        <v>172</v>
      </c>
      <c r="C568" s="4">
        <v>3</v>
      </c>
      <c r="D568" s="8">
        <v>2.2400000000000002</v>
      </c>
      <c r="E568" s="4">
        <v>1</v>
      </c>
      <c r="F568" s="8">
        <v>3.57</v>
      </c>
      <c r="G568" s="4">
        <v>2</v>
      </c>
      <c r="H568" s="8">
        <v>1.89</v>
      </c>
      <c r="I568" s="4">
        <v>0</v>
      </c>
    </row>
    <row r="569" spans="1:9" x14ac:dyDescent="0.2">
      <c r="A569" s="2">
        <v>6</v>
      </c>
      <c r="B569" s="1" t="s">
        <v>218</v>
      </c>
      <c r="C569" s="4">
        <v>3</v>
      </c>
      <c r="D569" s="8">
        <v>2.2400000000000002</v>
      </c>
      <c r="E569" s="4">
        <v>0</v>
      </c>
      <c r="F569" s="8">
        <v>0</v>
      </c>
      <c r="G569" s="4">
        <v>3</v>
      </c>
      <c r="H569" s="8">
        <v>2.83</v>
      </c>
      <c r="I569" s="4">
        <v>0</v>
      </c>
    </row>
    <row r="570" spans="1:9" x14ac:dyDescent="0.2">
      <c r="A570" s="2">
        <v>6</v>
      </c>
      <c r="B570" s="1" t="s">
        <v>219</v>
      </c>
      <c r="C570" s="4">
        <v>3</v>
      </c>
      <c r="D570" s="8">
        <v>2.2400000000000002</v>
      </c>
      <c r="E570" s="4">
        <v>0</v>
      </c>
      <c r="F570" s="8">
        <v>0</v>
      </c>
      <c r="G570" s="4">
        <v>3</v>
      </c>
      <c r="H570" s="8">
        <v>2.83</v>
      </c>
      <c r="I570" s="4">
        <v>0</v>
      </c>
    </row>
    <row r="571" spans="1:9" x14ac:dyDescent="0.2">
      <c r="A571" s="2">
        <v>14</v>
      </c>
      <c r="B571" s="1" t="s">
        <v>179</v>
      </c>
      <c r="C571" s="4">
        <v>2</v>
      </c>
      <c r="D571" s="8">
        <v>1.49</v>
      </c>
      <c r="E571" s="4">
        <v>0</v>
      </c>
      <c r="F571" s="8">
        <v>0</v>
      </c>
      <c r="G571" s="4">
        <v>2</v>
      </c>
      <c r="H571" s="8">
        <v>1.89</v>
      </c>
      <c r="I571" s="4">
        <v>0</v>
      </c>
    </row>
    <row r="572" spans="1:9" x14ac:dyDescent="0.2">
      <c r="A572" s="2">
        <v>14</v>
      </c>
      <c r="B572" s="1" t="s">
        <v>184</v>
      </c>
      <c r="C572" s="4">
        <v>2</v>
      </c>
      <c r="D572" s="8">
        <v>1.49</v>
      </c>
      <c r="E572" s="4">
        <v>0</v>
      </c>
      <c r="F572" s="8">
        <v>0</v>
      </c>
      <c r="G572" s="4">
        <v>2</v>
      </c>
      <c r="H572" s="8">
        <v>1.89</v>
      </c>
      <c r="I572" s="4">
        <v>0</v>
      </c>
    </row>
    <row r="573" spans="1:9" x14ac:dyDescent="0.2">
      <c r="A573" s="2">
        <v>14</v>
      </c>
      <c r="B573" s="1" t="s">
        <v>189</v>
      </c>
      <c r="C573" s="4">
        <v>2</v>
      </c>
      <c r="D573" s="8">
        <v>1.49</v>
      </c>
      <c r="E573" s="4">
        <v>0</v>
      </c>
      <c r="F573" s="8">
        <v>0</v>
      </c>
      <c r="G573" s="4">
        <v>2</v>
      </c>
      <c r="H573" s="8">
        <v>1.89</v>
      </c>
      <c r="I573" s="4">
        <v>0</v>
      </c>
    </row>
    <row r="574" spans="1:9" x14ac:dyDescent="0.2">
      <c r="A574" s="2">
        <v>14</v>
      </c>
      <c r="B574" s="1" t="s">
        <v>194</v>
      </c>
      <c r="C574" s="4">
        <v>2</v>
      </c>
      <c r="D574" s="8">
        <v>1.49</v>
      </c>
      <c r="E574" s="4">
        <v>0</v>
      </c>
      <c r="F574" s="8">
        <v>0</v>
      </c>
      <c r="G574" s="4">
        <v>2</v>
      </c>
      <c r="H574" s="8">
        <v>1.89</v>
      </c>
      <c r="I574" s="4">
        <v>0</v>
      </c>
    </row>
    <row r="575" spans="1:9" x14ac:dyDescent="0.2">
      <c r="A575" s="2">
        <v>14</v>
      </c>
      <c r="B575" s="1" t="s">
        <v>211</v>
      </c>
      <c r="C575" s="4">
        <v>2</v>
      </c>
      <c r="D575" s="8">
        <v>1.49</v>
      </c>
      <c r="E575" s="4">
        <v>0</v>
      </c>
      <c r="F575" s="8">
        <v>0</v>
      </c>
      <c r="G575" s="4">
        <v>2</v>
      </c>
      <c r="H575" s="8">
        <v>1.89</v>
      </c>
      <c r="I575" s="4">
        <v>0</v>
      </c>
    </row>
    <row r="576" spans="1:9" x14ac:dyDescent="0.2">
      <c r="A576" s="2">
        <v>14</v>
      </c>
      <c r="B576" s="1" t="s">
        <v>213</v>
      </c>
      <c r="C576" s="4">
        <v>2</v>
      </c>
      <c r="D576" s="8">
        <v>1.49</v>
      </c>
      <c r="E576" s="4">
        <v>0</v>
      </c>
      <c r="F576" s="8">
        <v>0</v>
      </c>
      <c r="G576" s="4">
        <v>2</v>
      </c>
      <c r="H576" s="8">
        <v>1.89</v>
      </c>
      <c r="I576" s="4">
        <v>0</v>
      </c>
    </row>
    <row r="577" spans="1:9" x14ac:dyDescent="0.2">
      <c r="A577" s="2">
        <v>14</v>
      </c>
      <c r="B577" s="1" t="s">
        <v>205</v>
      </c>
      <c r="C577" s="4">
        <v>2</v>
      </c>
      <c r="D577" s="8">
        <v>1.49</v>
      </c>
      <c r="E577" s="4">
        <v>0</v>
      </c>
      <c r="F577" s="8">
        <v>0</v>
      </c>
      <c r="G577" s="4">
        <v>2</v>
      </c>
      <c r="H577" s="8">
        <v>1.89</v>
      </c>
      <c r="I577" s="4">
        <v>0</v>
      </c>
    </row>
    <row r="578" spans="1:9" x14ac:dyDescent="0.2">
      <c r="A578" s="2">
        <v>14</v>
      </c>
      <c r="B578" s="1" t="s">
        <v>198</v>
      </c>
      <c r="C578" s="4">
        <v>2</v>
      </c>
      <c r="D578" s="8">
        <v>1.49</v>
      </c>
      <c r="E578" s="4">
        <v>0</v>
      </c>
      <c r="F578" s="8">
        <v>0</v>
      </c>
      <c r="G578" s="4">
        <v>2</v>
      </c>
      <c r="H578" s="8">
        <v>1.89</v>
      </c>
      <c r="I578" s="4">
        <v>0</v>
      </c>
    </row>
    <row r="579" spans="1:9" x14ac:dyDescent="0.2">
      <c r="A579" s="2">
        <v>14</v>
      </c>
      <c r="B579" s="1" t="s">
        <v>215</v>
      </c>
      <c r="C579" s="4">
        <v>2</v>
      </c>
      <c r="D579" s="8">
        <v>1.49</v>
      </c>
      <c r="E579" s="4">
        <v>0</v>
      </c>
      <c r="F579" s="8">
        <v>0</v>
      </c>
      <c r="G579" s="4">
        <v>2</v>
      </c>
      <c r="H579" s="8">
        <v>1.89</v>
      </c>
      <c r="I579" s="4">
        <v>0</v>
      </c>
    </row>
    <row r="580" spans="1:9" x14ac:dyDescent="0.2">
      <c r="A580" s="2">
        <v>14</v>
      </c>
      <c r="B580" s="1" t="s">
        <v>160</v>
      </c>
      <c r="C580" s="4">
        <v>2</v>
      </c>
      <c r="D580" s="8">
        <v>1.49</v>
      </c>
      <c r="E580" s="4">
        <v>0</v>
      </c>
      <c r="F580" s="8">
        <v>0</v>
      </c>
      <c r="G580" s="4">
        <v>2</v>
      </c>
      <c r="H580" s="8">
        <v>1.89</v>
      </c>
      <c r="I580" s="4">
        <v>0</v>
      </c>
    </row>
    <row r="581" spans="1:9" x14ac:dyDescent="0.2">
      <c r="A581" s="2">
        <v>14</v>
      </c>
      <c r="B581" s="1" t="s">
        <v>165</v>
      </c>
      <c r="C581" s="4">
        <v>2</v>
      </c>
      <c r="D581" s="8">
        <v>1.49</v>
      </c>
      <c r="E581" s="4">
        <v>0</v>
      </c>
      <c r="F581" s="8">
        <v>0</v>
      </c>
      <c r="G581" s="4">
        <v>2</v>
      </c>
      <c r="H581" s="8">
        <v>1.89</v>
      </c>
      <c r="I581" s="4">
        <v>0</v>
      </c>
    </row>
    <row r="582" spans="1:9" x14ac:dyDescent="0.2">
      <c r="A582" s="2">
        <v>14</v>
      </c>
      <c r="B582" s="1" t="s">
        <v>217</v>
      </c>
      <c r="C582" s="4">
        <v>2</v>
      </c>
      <c r="D582" s="8">
        <v>1.49</v>
      </c>
      <c r="E582" s="4">
        <v>1</v>
      </c>
      <c r="F582" s="8">
        <v>3.57</v>
      </c>
      <c r="G582" s="4">
        <v>1</v>
      </c>
      <c r="H582" s="8">
        <v>0.94</v>
      </c>
      <c r="I582" s="4">
        <v>0</v>
      </c>
    </row>
    <row r="583" spans="1:9" x14ac:dyDescent="0.2">
      <c r="A583" s="2">
        <v>14</v>
      </c>
      <c r="B583" s="1" t="s">
        <v>171</v>
      </c>
      <c r="C583" s="4">
        <v>2</v>
      </c>
      <c r="D583" s="8">
        <v>1.49</v>
      </c>
      <c r="E583" s="4">
        <v>1</v>
      </c>
      <c r="F583" s="8">
        <v>3.57</v>
      </c>
      <c r="G583" s="4">
        <v>1</v>
      </c>
      <c r="H583" s="8">
        <v>0.94</v>
      </c>
      <c r="I583" s="4">
        <v>0</v>
      </c>
    </row>
    <row r="584" spans="1:9" x14ac:dyDescent="0.2">
      <c r="A584" s="1"/>
      <c r="C584" s="4"/>
      <c r="D584" s="8"/>
      <c r="E584" s="4"/>
      <c r="F584" s="8"/>
      <c r="G584" s="4"/>
      <c r="H584" s="8"/>
      <c r="I584" s="4"/>
    </row>
    <row r="585" spans="1:9" x14ac:dyDescent="0.2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2">
      <c r="A586" s="2">
        <v>1</v>
      </c>
      <c r="B586" s="1" t="s">
        <v>162</v>
      </c>
      <c r="C586" s="4">
        <v>476</v>
      </c>
      <c r="D586" s="8">
        <v>4.9000000000000004</v>
      </c>
      <c r="E586" s="4">
        <v>203</v>
      </c>
      <c r="F586" s="8">
        <v>5.34</v>
      </c>
      <c r="G586" s="4">
        <v>273</v>
      </c>
      <c r="H586" s="8">
        <v>4.6399999999999997</v>
      </c>
      <c r="I586" s="4">
        <v>0</v>
      </c>
    </row>
    <row r="587" spans="1:9" x14ac:dyDescent="0.2">
      <c r="A587" s="2">
        <v>2</v>
      </c>
      <c r="B587" s="1" t="s">
        <v>172</v>
      </c>
      <c r="C587" s="4">
        <v>433</v>
      </c>
      <c r="D587" s="8">
        <v>4.46</v>
      </c>
      <c r="E587" s="4">
        <v>357</v>
      </c>
      <c r="F587" s="8">
        <v>9.4</v>
      </c>
      <c r="G587" s="4">
        <v>76</v>
      </c>
      <c r="H587" s="8">
        <v>1.29</v>
      </c>
      <c r="I587" s="4">
        <v>0</v>
      </c>
    </row>
    <row r="588" spans="1:9" x14ac:dyDescent="0.2">
      <c r="A588" s="2">
        <v>3</v>
      </c>
      <c r="B588" s="1" t="s">
        <v>173</v>
      </c>
      <c r="C588" s="4">
        <v>255</v>
      </c>
      <c r="D588" s="8">
        <v>2.63</v>
      </c>
      <c r="E588" s="4">
        <v>188</v>
      </c>
      <c r="F588" s="8">
        <v>4.95</v>
      </c>
      <c r="G588" s="4">
        <v>66</v>
      </c>
      <c r="H588" s="8">
        <v>1.1200000000000001</v>
      </c>
      <c r="I588" s="4">
        <v>1</v>
      </c>
    </row>
    <row r="589" spans="1:9" x14ac:dyDescent="0.2">
      <c r="A589" s="2">
        <v>4</v>
      </c>
      <c r="B589" s="1" t="s">
        <v>168</v>
      </c>
      <c r="C589" s="4">
        <v>250</v>
      </c>
      <c r="D589" s="8">
        <v>2.57</v>
      </c>
      <c r="E589" s="4">
        <v>194</v>
      </c>
      <c r="F589" s="8">
        <v>5.1100000000000003</v>
      </c>
      <c r="G589" s="4">
        <v>56</v>
      </c>
      <c r="H589" s="8">
        <v>0.95</v>
      </c>
      <c r="I589" s="4">
        <v>0</v>
      </c>
    </row>
    <row r="590" spans="1:9" x14ac:dyDescent="0.2">
      <c r="A590" s="2">
        <v>5</v>
      </c>
      <c r="B590" s="1" t="s">
        <v>171</v>
      </c>
      <c r="C590" s="4">
        <v>239</v>
      </c>
      <c r="D590" s="8">
        <v>2.46</v>
      </c>
      <c r="E590" s="4">
        <v>216</v>
      </c>
      <c r="F590" s="8">
        <v>5.69</v>
      </c>
      <c r="G590" s="4">
        <v>23</v>
      </c>
      <c r="H590" s="8">
        <v>0.39</v>
      </c>
      <c r="I590" s="4">
        <v>0</v>
      </c>
    </row>
    <row r="591" spans="1:9" x14ac:dyDescent="0.2">
      <c r="A591" s="2">
        <v>6</v>
      </c>
      <c r="B591" s="1" t="s">
        <v>175</v>
      </c>
      <c r="C591" s="4">
        <v>227</v>
      </c>
      <c r="D591" s="8">
        <v>2.34</v>
      </c>
      <c r="E591" s="4">
        <v>192</v>
      </c>
      <c r="F591" s="8">
        <v>5.0599999999999996</v>
      </c>
      <c r="G591" s="4">
        <v>35</v>
      </c>
      <c r="H591" s="8">
        <v>0.6</v>
      </c>
      <c r="I591" s="4">
        <v>0</v>
      </c>
    </row>
    <row r="592" spans="1:9" x14ac:dyDescent="0.2">
      <c r="A592" s="2">
        <v>7</v>
      </c>
      <c r="B592" s="1" t="s">
        <v>161</v>
      </c>
      <c r="C592" s="4">
        <v>201</v>
      </c>
      <c r="D592" s="8">
        <v>2.0699999999999998</v>
      </c>
      <c r="E592" s="4">
        <v>37</v>
      </c>
      <c r="F592" s="8">
        <v>0.97</v>
      </c>
      <c r="G592" s="4">
        <v>163</v>
      </c>
      <c r="H592" s="8">
        <v>2.77</v>
      </c>
      <c r="I592" s="4">
        <v>1</v>
      </c>
    </row>
    <row r="593" spans="1:9" x14ac:dyDescent="0.2">
      <c r="A593" s="2">
        <v>8</v>
      </c>
      <c r="B593" s="1" t="s">
        <v>163</v>
      </c>
      <c r="C593" s="4">
        <v>188</v>
      </c>
      <c r="D593" s="8">
        <v>1.94</v>
      </c>
      <c r="E593" s="4">
        <v>8</v>
      </c>
      <c r="F593" s="8">
        <v>0.21</v>
      </c>
      <c r="G593" s="4">
        <v>179</v>
      </c>
      <c r="H593" s="8">
        <v>3.04</v>
      </c>
      <c r="I593" s="4">
        <v>1</v>
      </c>
    </row>
    <row r="594" spans="1:9" x14ac:dyDescent="0.2">
      <c r="A594" s="2">
        <v>8</v>
      </c>
      <c r="B594" s="1" t="s">
        <v>169</v>
      </c>
      <c r="C594" s="4">
        <v>188</v>
      </c>
      <c r="D594" s="8">
        <v>1.94</v>
      </c>
      <c r="E594" s="4">
        <v>158</v>
      </c>
      <c r="F594" s="8">
        <v>4.16</v>
      </c>
      <c r="G594" s="4">
        <v>30</v>
      </c>
      <c r="H594" s="8">
        <v>0.51</v>
      </c>
      <c r="I594" s="4">
        <v>0</v>
      </c>
    </row>
    <row r="595" spans="1:9" x14ac:dyDescent="0.2">
      <c r="A595" s="2">
        <v>10</v>
      </c>
      <c r="B595" s="1" t="s">
        <v>201</v>
      </c>
      <c r="C595" s="4">
        <v>172</v>
      </c>
      <c r="D595" s="8">
        <v>1.77</v>
      </c>
      <c r="E595" s="4">
        <v>30</v>
      </c>
      <c r="F595" s="8">
        <v>0.79</v>
      </c>
      <c r="G595" s="4">
        <v>142</v>
      </c>
      <c r="H595" s="8">
        <v>2.42</v>
      </c>
      <c r="I595" s="4">
        <v>0</v>
      </c>
    </row>
    <row r="596" spans="1:9" x14ac:dyDescent="0.2">
      <c r="A596" s="2">
        <v>11</v>
      </c>
      <c r="B596" s="1" t="s">
        <v>159</v>
      </c>
      <c r="C596" s="4">
        <v>168</v>
      </c>
      <c r="D596" s="8">
        <v>1.73</v>
      </c>
      <c r="E596" s="4">
        <v>97</v>
      </c>
      <c r="F596" s="8">
        <v>2.5499999999999998</v>
      </c>
      <c r="G596" s="4">
        <v>71</v>
      </c>
      <c r="H596" s="8">
        <v>1.21</v>
      </c>
      <c r="I596" s="4">
        <v>0</v>
      </c>
    </row>
    <row r="597" spans="1:9" x14ac:dyDescent="0.2">
      <c r="A597" s="2">
        <v>12</v>
      </c>
      <c r="B597" s="1" t="s">
        <v>221</v>
      </c>
      <c r="C597" s="4">
        <v>157</v>
      </c>
      <c r="D597" s="8">
        <v>1.62</v>
      </c>
      <c r="E597" s="4">
        <v>67</v>
      </c>
      <c r="F597" s="8">
        <v>1.76</v>
      </c>
      <c r="G597" s="4">
        <v>90</v>
      </c>
      <c r="H597" s="8">
        <v>1.53</v>
      </c>
      <c r="I597" s="4">
        <v>0</v>
      </c>
    </row>
    <row r="598" spans="1:9" x14ac:dyDescent="0.2">
      <c r="A598" s="2">
        <v>13</v>
      </c>
      <c r="B598" s="1" t="s">
        <v>192</v>
      </c>
      <c r="C598" s="4">
        <v>156</v>
      </c>
      <c r="D598" s="8">
        <v>1.61</v>
      </c>
      <c r="E598" s="4">
        <v>33</v>
      </c>
      <c r="F598" s="8">
        <v>0.87</v>
      </c>
      <c r="G598" s="4">
        <v>123</v>
      </c>
      <c r="H598" s="8">
        <v>2.09</v>
      </c>
      <c r="I598" s="4">
        <v>0</v>
      </c>
    </row>
    <row r="599" spans="1:9" x14ac:dyDescent="0.2">
      <c r="A599" s="2">
        <v>14</v>
      </c>
      <c r="B599" s="1" t="s">
        <v>167</v>
      </c>
      <c r="C599" s="4">
        <v>149</v>
      </c>
      <c r="D599" s="8">
        <v>1.53</v>
      </c>
      <c r="E599" s="4">
        <v>30</v>
      </c>
      <c r="F599" s="8">
        <v>0.79</v>
      </c>
      <c r="G599" s="4">
        <v>118</v>
      </c>
      <c r="H599" s="8">
        <v>2.0099999999999998</v>
      </c>
      <c r="I599" s="4">
        <v>0</v>
      </c>
    </row>
    <row r="600" spans="1:9" x14ac:dyDescent="0.2">
      <c r="A600" s="2">
        <v>15</v>
      </c>
      <c r="B600" s="1" t="s">
        <v>200</v>
      </c>
      <c r="C600" s="4">
        <v>147</v>
      </c>
      <c r="D600" s="8">
        <v>1.51</v>
      </c>
      <c r="E600" s="4">
        <v>15</v>
      </c>
      <c r="F600" s="8">
        <v>0.39</v>
      </c>
      <c r="G600" s="4">
        <v>132</v>
      </c>
      <c r="H600" s="8">
        <v>2.25</v>
      </c>
      <c r="I600" s="4">
        <v>0</v>
      </c>
    </row>
    <row r="601" spans="1:9" x14ac:dyDescent="0.2">
      <c r="A601" s="2">
        <v>16</v>
      </c>
      <c r="B601" s="1" t="s">
        <v>170</v>
      </c>
      <c r="C601" s="4">
        <v>145</v>
      </c>
      <c r="D601" s="8">
        <v>1.49</v>
      </c>
      <c r="E601" s="4">
        <v>122</v>
      </c>
      <c r="F601" s="8">
        <v>3.21</v>
      </c>
      <c r="G601" s="4">
        <v>23</v>
      </c>
      <c r="H601" s="8">
        <v>0.39</v>
      </c>
      <c r="I601" s="4">
        <v>0</v>
      </c>
    </row>
    <row r="602" spans="1:9" x14ac:dyDescent="0.2">
      <c r="A602" s="2">
        <v>17</v>
      </c>
      <c r="B602" s="1" t="s">
        <v>160</v>
      </c>
      <c r="C602" s="4">
        <v>143</v>
      </c>
      <c r="D602" s="8">
        <v>1.47</v>
      </c>
      <c r="E602" s="4">
        <v>13</v>
      </c>
      <c r="F602" s="8">
        <v>0.34</v>
      </c>
      <c r="G602" s="4">
        <v>130</v>
      </c>
      <c r="H602" s="8">
        <v>2.21</v>
      </c>
      <c r="I602" s="4">
        <v>0</v>
      </c>
    </row>
    <row r="603" spans="1:9" x14ac:dyDescent="0.2">
      <c r="A603" s="2">
        <v>18</v>
      </c>
      <c r="B603" s="1" t="s">
        <v>220</v>
      </c>
      <c r="C603" s="4">
        <v>142</v>
      </c>
      <c r="D603" s="8">
        <v>1.46</v>
      </c>
      <c r="E603" s="4">
        <v>15</v>
      </c>
      <c r="F603" s="8">
        <v>0.39</v>
      </c>
      <c r="G603" s="4">
        <v>127</v>
      </c>
      <c r="H603" s="8">
        <v>2.16</v>
      </c>
      <c r="I603" s="4">
        <v>0</v>
      </c>
    </row>
    <row r="604" spans="1:9" x14ac:dyDescent="0.2">
      <c r="A604" s="2">
        <v>19</v>
      </c>
      <c r="B604" s="1" t="s">
        <v>158</v>
      </c>
      <c r="C604" s="4">
        <v>133</v>
      </c>
      <c r="D604" s="8">
        <v>1.37</v>
      </c>
      <c r="E604" s="4">
        <v>56</v>
      </c>
      <c r="F604" s="8">
        <v>1.47</v>
      </c>
      <c r="G604" s="4">
        <v>77</v>
      </c>
      <c r="H604" s="8">
        <v>1.31</v>
      </c>
      <c r="I604" s="4">
        <v>0</v>
      </c>
    </row>
    <row r="605" spans="1:9" x14ac:dyDescent="0.2">
      <c r="A605" s="2">
        <v>20</v>
      </c>
      <c r="B605" s="1" t="s">
        <v>206</v>
      </c>
      <c r="C605" s="4">
        <v>132</v>
      </c>
      <c r="D605" s="8">
        <v>1.36</v>
      </c>
      <c r="E605" s="4">
        <v>20</v>
      </c>
      <c r="F605" s="8">
        <v>0.53</v>
      </c>
      <c r="G605" s="4">
        <v>112</v>
      </c>
      <c r="H605" s="8">
        <v>1.91</v>
      </c>
      <c r="I605" s="4">
        <v>0</v>
      </c>
    </row>
    <row r="606" spans="1:9" x14ac:dyDescent="0.2">
      <c r="A606" s="1"/>
      <c r="C606" s="4"/>
      <c r="D606" s="8"/>
      <c r="E606" s="4"/>
      <c r="F606" s="8"/>
      <c r="G606" s="4"/>
      <c r="H606" s="8"/>
      <c r="I606" s="4"/>
    </row>
    <row r="607" spans="1:9" x14ac:dyDescent="0.2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2">
      <c r="A608" s="2">
        <v>1</v>
      </c>
      <c r="B608" s="1" t="s">
        <v>162</v>
      </c>
      <c r="C608" s="4">
        <v>166</v>
      </c>
      <c r="D608" s="8">
        <v>4.51</v>
      </c>
      <c r="E608" s="4">
        <v>48</v>
      </c>
      <c r="F608" s="8">
        <v>3.82</v>
      </c>
      <c r="G608" s="4">
        <v>118</v>
      </c>
      <c r="H608" s="8">
        <v>4.91</v>
      </c>
      <c r="I608" s="4">
        <v>0</v>
      </c>
    </row>
    <row r="609" spans="1:9" x14ac:dyDescent="0.2">
      <c r="A609" s="2">
        <v>2</v>
      </c>
      <c r="B609" s="1" t="s">
        <v>172</v>
      </c>
      <c r="C609" s="4">
        <v>136</v>
      </c>
      <c r="D609" s="8">
        <v>3.7</v>
      </c>
      <c r="E609" s="4">
        <v>106</v>
      </c>
      <c r="F609" s="8">
        <v>8.4499999999999993</v>
      </c>
      <c r="G609" s="4">
        <v>30</v>
      </c>
      <c r="H609" s="8">
        <v>1.25</v>
      </c>
      <c r="I609" s="4">
        <v>0</v>
      </c>
    </row>
    <row r="610" spans="1:9" x14ac:dyDescent="0.2">
      <c r="A610" s="2">
        <v>3</v>
      </c>
      <c r="B610" s="1" t="s">
        <v>161</v>
      </c>
      <c r="C610" s="4">
        <v>117</v>
      </c>
      <c r="D610" s="8">
        <v>3.18</v>
      </c>
      <c r="E610" s="4">
        <v>8</v>
      </c>
      <c r="F610" s="8">
        <v>0.64</v>
      </c>
      <c r="G610" s="4">
        <v>109</v>
      </c>
      <c r="H610" s="8">
        <v>4.54</v>
      </c>
      <c r="I610" s="4">
        <v>0</v>
      </c>
    </row>
    <row r="611" spans="1:9" x14ac:dyDescent="0.2">
      <c r="A611" s="2">
        <v>4</v>
      </c>
      <c r="B611" s="1" t="s">
        <v>169</v>
      </c>
      <c r="C611" s="4">
        <v>110</v>
      </c>
      <c r="D611" s="8">
        <v>2.99</v>
      </c>
      <c r="E611" s="4">
        <v>93</v>
      </c>
      <c r="F611" s="8">
        <v>7.41</v>
      </c>
      <c r="G611" s="4">
        <v>17</v>
      </c>
      <c r="H611" s="8">
        <v>0.71</v>
      </c>
      <c r="I611" s="4">
        <v>0</v>
      </c>
    </row>
    <row r="612" spans="1:9" x14ac:dyDescent="0.2">
      <c r="A612" s="2">
        <v>5</v>
      </c>
      <c r="B612" s="1" t="s">
        <v>175</v>
      </c>
      <c r="C612" s="4">
        <v>106</v>
      </c>
      <c r="D612" s="8">
        <v>2.88</v>
      </c>
      <c r="E612" s="4">
        <v>80</v>
      </c>
      <c r="F612" s="8">
        <v>6.37</v>
      </c>
      <c r="G612" s="4">
        <v>26</v>
      </c>
      <c r="H612" s="8">
        <v>1.08</v>
      </c>
      <c r="I612" s="4">
        <v>0</v>
      </c>
    </row>
    <row r="613" spans="1:9" x14ac:dyDescent="0.2">
      <c r="A613" s="2">
        <v>6</v>
      </c>
      <c r="B613" s="1" t="s">
        <v>168</v>
      </c>
      <c r="C613" s="4">
        <v>95</v>
      </c>
      <c r="D613" s="8">
        <v>2.58</v>
      </c>
      <c r="E613" s="4">
        <v>64</v>
      </c>
      <c r="F613" s="8">
        <v>5.0999999999999996</v>
      </c>
      <c r="G613" s="4">
        <v>31</v>
      </c>
      <c r="H613" s="8">
        <v>1.29</v>
      </c>
      <c r="I613" s="4">
        <v>0</v>
      </c>
    </row>
    <row r="614" spans="1:9" x14ac:dyDescent="0.2">
      <c r="A614" s="2">
        <v>6</v>
      </c>
      <c r="B614" s="1" t="s">
        <v>173</v>
      </c>
      <c r="C614" s="4">
        <v>95</v>
      </c>
      <c r="D614" s="8">
        <v>2.58</v>
      </c>
      <c r="E614" s="4">
        <v>60</v>
      </c>
      <c r="F614" s="8">
        <v>4.78</v>
      </c>
      <c r="G614" s="4">
        <v>35</v>
      </c>
      <c r="H614" s="8">
        <v>1.46</v>
      </c>
      <c r="I614" s="4">
        <v>0</v>
      </c>
    </row>
    <row r="615" spans="1:9" x14ac:dyDescent="0.2">
      <c r="A615" s="2">
        <v>8</v>
      </c>
      <c r="B615" s="1" t="s">
        <v>163</v>
      </c>
      <c r="C615" s="4">
        <v>80</v>
      </c>
      <c r="D615" s="8">
        <v>2.1800000000000002</v>
      </c>
      <c r="E615" s="4">
        <v>2</v>
      </c>
      <c r="F615" s="8">
        <v>0.16</v>
      </c>
      <c r="G615" s="4">
        <v>77</v>
      </c>
      <c r="H615" s="8">
        <v>3.21</v>
      </c>
      <c r="I615" s="4">
        <v>0</v>
      </c>
    </row>
    <row r="616" spans="1:9" x14ac:dyDescent="0.2">
      <c r="A616" s="2">
        <v>9</v>
      </c>
      <c r="B616" s="1" t="s">
        <v>170</v>
      </c>
      <c r="C616" s="4">
        <v>79</v>
      </c>
      <c r="D616" s="8">
        <v>2.15</v>
      </c>
      <c r="E616" s="4">
        <v>62</v>
      </c>
      <c r="F616" s="8">
        <v>4.9400000000000004</v>
      </c>
      <c r="G616" s="4">
        <v>17</v>
      </c>
      <c r="H616" s="8">
        <v>0.71</v>
      </c>
      <c r="I616" s="4">
        <v>0</v>
      </c>
    </row>
    <row r="617" spans="1:9" x14ac:dyDescent="0.2">
      <c r="A617" s="2">
        <v>10</v>
      </c>
      <c r="B617" s="1" t="s">
        <v>171</v>
      </c>
      <c r="C617" s="4">
        <v>78</v>
      </c>
      <c r="D617" s="8">
        <v>2.12</v>
      </c>
      <c r="E617" s="4">
        <v>68</v>
      </c>
      <c r="F617" s="8">
        <v>5.42</v>
      </c>
      <c r="G617" s="4">
        <v>10</v>
      </c>
      <c r="H617" s="8">
        <v>0.42</v>
      </c>
      <c r="I617" s="4">
        <v>0</v>
      </c>
    </row>
    <row r="618" spans="1:9" x14ac:dyDescent="0.2">
      <c r="A618" s="2">
        <v>11</v>
      </c>
      <c r="B618" s="1" t="s">
        <v>159</v>
      </c>
      <c r="C618" s="4">
        <v>72</v>
      </c>
      <c r="D618" s="8">
        <v>1.96</v>
      </c>
      <c r="E618" s="4">
        <v>26</v>
      </c>
      <c r="F618" s="8">
        <v>2.0699999999999998</v>
      </c>
      <c r="G618" s="4">
        <v>46</v>
      </c>
      <c r="H618" s="8">
        <v>1.92</v>
      </c>
      <c r="I618" s="4">
        <v>0</v>
      </c>
    </row>
    <row r="619" spans="1:9" x14ac:dyDescent="0.2">
      <c r="A619" s="2">
        <v>12</v>
      </c>
      <c r="B619" s="1" t="s">
        <v>160</v>
      </c>
      <c r="C619" s="4">
        <v>67</v>
      </c>
      <c r="D619" s="8">
        <v>1.82</v>
      </c>
      <c r="E619" s="4">
        <v>5</v>
      </c>
      <c r="F619" s="8">
        <v>0.4</v>
      </c>
      <c r="G619" s="4">
        <v>62</v>
      </c>
      <c r="H619" s="8">
        <v>2.58</v>
      </c>
      <c r="I619" s="4">
        <v>0</v>
      </c>
    </row>
    <row r="620" spans="1:9" x14ac:dyDescent="0.2">
      <c r="A620" s="2">
        <v>13</v>
      </c>
      <c r="B620" s="1" t="s">
        <v>206</v>
      </c>
      <c r="C620" s="4">
        <v>65</v>
      </c>
      <c r="D620" s="8">
        <v>1.77</v>
      </c>
      <c r="E620" s="4">
        <v>2</v>
      </c>
      <c r="F620" s="8">
        <v>0.16</v>
      </c>
      <c r="G620" s="4">
        <v>63</v>
      </c>
      <c r="H620" s="8">
        <v>2.62</v>
      </c>
      <c r="I620" s="4">
        <v>0</v>
      </c>
    </row>
    <row r="621" spans="1:9" x14ac:dyDescent="0.2">
      <c r="A621" s="2">
        <v>13</v>
      </c>
      <c r="B621" s="1" t="s">
        <v>158</v>
      </c>
      <c r="C621" s="4">
        <v>65</v>
      </c>
      <c r="D621" s="8">
        <v>1.77</v>
      </c>
      <c r="E621" s="4">
        <v>26</v>
      </c>
      <c r="F621" s="8">
        <v>2.0699999999999998</v>
      </c>
      <c r="G621" s="4">
        <v>39</v>
      </c>
      <c r="H621" s="8">
        <v>1.62</v>
      </c>
      <c r="I621" s="4">
        <v>0</v>
      </c>
    </row>
    <row r="622" spans="1:9" x14ac:dyDescent="0.2">
      <c r="A622" s="2">
        <v>15</v>
      </c>
      <c r="B622" s="1" t="s">
        <v>201</v>
      </c>
      <c r="C622" s="4">
        <v>57</v>
      </c>
      <c r="D622" s="8">
        <v>1.55</v>
      </c>
      <c r="E622" s="4">
        <v>4</v>
      </c>
      <c r="F622" s="8">
        <v>0.32</v>
      </c>
      <c r="G622" s="4">
        <v>53</v>
      </c>
      <c r="H622" s="8">
        <v>2.21</v>
      </c>
      <c r="I622" s="4">
        <v>0</v>
      </c>
    </row>
    <row r="623" spans="1:9" x14ac:dyDescent="0.2">
      <c r="A623" s="2">
        <v>16</v>
      </c>
      <c r="B623" s="1" t="s">
        <v>192</v>
      </c>
      <c r="C623" s="4">
        <v>55</v>
      </c>
      <c r="D623" s="8">
        <v>1.5</v>
      </c>
      <c r="E623" s="4">
        <v>10</v>
      </c>
      <c r="F623" s="8">
        <v>0.8</v>
      </c>
      <c r="G623" s="4">
        <v>45</v>
      </c>
      <c r="H623" s="8">
        <v>1.87</v>
      </c>
      <c r="I623" s="4">
        <v>0</v>
      </c>
    </row>
    <row r="624" spans="1:9" x14ac:dyDescent="0.2">
      <c r="A624" s="2">
        <v>17</v>
      </c>
      <c r="B624" s="1" t="s">
        <v>176</v>
      </c>
      <c r="C624" s="4">
        <v>54</v>
      </c>
      <c r="D624" s="8">
        <v>1.47</v>
      </c>
      <c r="E624" s="4">
        <v>1</v>
      </c>
      <c r="F624" s="8">
        <v>0.08</v>
      </c>
      <c r="G624" s="4">
        <v>50</v>
      </c>
      <c r="H624" s="8">
        <v>2.08</v>
      </c>
      <c r="I624" s="4">
        <v>3</v>
      </c>
    </row>
    <row r="625" spans="1:9" x14ac:dyDescent="0.2">
      <c r="A625" s="2">
        <v>18</v>
      </c>
      <c r="B625" s="1" t="s">
        <v>157</v>
      </c>
      <c r="C625" s="4">
        <v>53</v>
      </c>
      <c r="D625" s="8">
        <v>1.44</v>
      </c>
      <c r="E625" s="4">
        <v>1</v>
      </c>
      <c r="F625" s="8">
        <v>0.08</v>
      </c>
      <c r="G625" s="4">
        <v>52</v>
      </c>
      <c r="H625" s="8">
        <v>2.17</v>
      </c>
      <c r="I625" s="4">
        <v>0</v>
      </c>
    </row>
    <row r="626" spans="1:9" x14ac:dyDescent="0.2">
      <c r="A626" s="2">
        <v>19</v>
      </c>
      <c r="B626" s="1" t="s">
        <v>167</v>
      </c>
      <c r="C626" s="4">
        <v>52</v>
      </c>
      <c r="D626" s="8">
        <v>1.41</v>
      </c>
      <c r="E626" s="4">
        <v>15</v>
      </c>
      <c r="F626" s="8">
        <v>1.2</v>
      </c>
      <c r="G626" s="4">
        <v>37</v>
      </c>
      <c r="H626" s="8">
        <v>1.54</v>
      </c>
      <c r="I626" s="4">
        <v>0</v>
      </c>
    </row>
    <row r="627" spans="1:9" x14ac:dyDescent="0.2">
      <c r="A627" s="2">
        <v>20</v>
      </c>
      <c r="B627" s="1" t="s">
        <v>164</v>
      </c>
      <c r="C627" s="4">
        <v>51</v>
      </c>
      <c r="D627" s="8">
        <v>1.39</v>
      </c>
      <c r="E627" s="4">
        <v>46</v>
      </c>
      <c r="F627" s="8">
        <v>3.67</v>
      </c>
      <c r="G627" s="4">
        <v>5</v>
      </c>
      <c r="H627" s="8">
        <v>0.21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162</v>
      </c>
      <c r="C630" s="4">
        <v>425</v>
      </c>
      <c r="D630" s="8">
        <v>10.01</v>
      </c>
      <c r="E630" s="4">
        <v>192</v>
      </c>
      <c r="F630" s="8">
        <v>11.59</v>
      </c>
      <c r="G630" s="4">
        <v>233</v>
      </c>
      <c r="H630" s="8">
        <v>9.02</v>
      </c>
      <c r="I630" s="4">
        <v>0</v>
      </c>
    </row>
    <row r="631" spans="1:9" x14ac:dyDescent="0.2">
      <c r="A631" s="2">
        <v>2</v>
      </c>
      <c r="B631" s="1" t="s">
        <v>172</v>
      </c>
      <c r="C631" s="4">
        <v>198</v>
      </c>
      <c r="D631" s="8">
        <v>4.67</v>
      </c>
      <c r="E631" s="4">
        <v>142</v>
      </c>
      <c r="F631" s="8">
        <v>8.57</v>
      </c>
      <c r="G631" s="4">
        <v>56</v>
      </c>
      <c r="H631" s="8">
        <v>2.17</v>
      </c>
      <c r="I631" s="4">
        <v>0</v>
      </c>
    </row>
    <row r="632" spans="1:9" x14ac:dyDescent="0.2">
      <c r="A632" s="2">
        <v>3</v>
      </c>
      <c r="B632" s="1" t="s">
        <v>163</v>
      </c>
      <c r="C632" s="4">
        <v>163</v>
      </c>
      <c r="D632" s="8">
        <v>3.84</v>
      </c>
      <c r="E632" s="4">
        <v>2</v>
      </c>
      <c r="F632" s="8">
        <v>0.12</v>
      </c>
      <c r="G632" s="4">
        <v>161</v>
      </c>
      <c r="H632" s="8">
        <v>6.23</v>
      </c>
      <c r="I632" s="4">
        <v>0</v>
      </c>
    </row>
    <row r="633" spans="1:9" x14ac:dyDescent="0.2">
      <c r="A633" s="2">
        <v>4</v>
      </c>
      <c r="B633" s="1" t="s">
        <v>173</v>
      </c>
      <c r="C633" s="4">
        <v>148</v>
      </c>
      <c r="D633" s="8">
        <v>3.49</v>
      </c>
      <c r="E633" s="4">
        <v>90</v>
      </c>
      <c r="F633" s="8">
        <v>5.43</v>
      </c>
      <c r="G633" s="4">
        <v>58</v>
      </c>
      <c r="H633" s="8">
        <v>2.25</v>
      </c>
      <c r="I633" s="4">
        <v>0</v>
      </c>
    </row>
    <row r="634" spans="1:9" x14ac:dyDescent="0.2">
      <c r="A634" s="2">
        <v>5</v>
      </c>
      <c r="B634" s="1" t="s">
        <v>175</v>
      </c>
      <c r="C634" s="4">
        <v>146</v>
      </c>
      <c r="D634" s="8">
        <v>3.44</v>
      </c>
      <c r="E634" s="4">
        <v>115</v>
      </c>
      <c r="F634" s="8">
        <v>6.94</v>
      </c>
      <c r="G634" s="4">
        <v>31</v>
      </c>
      <c r="H634" s="8">
        <v>1.2</v>
      </c>
      <c r="I634" s="4">
        <v>0</v>
      </c>
    </row>
    <row r="635" spans="1:9" x14ac:dyDescent="0.2">
      <c r="A635" s="2">
        <v>6</v>
      </c>
      <c r="B635" s="1" t="s">
        <v>159</v>
      </c>
      <c r="C635" s="4">
        <v>138</v>
      </c>
      <c r="D635" s="8">
        <v>3.25</v>
      </c>
      <c r="E635" s="4">
        <v>75</v>
      </c>
      <c r="F635" s="8">
        <v>4.53</v>
      </c>
      <c r="G635" s="4">
        <v>63</v>
      </c>
      <c r="H635" s="8">
        <v>2.44</v>
      </c>
      <c r="I635" s="4">
        <v>0</v>
      </c>
    </row>
    <row r="636" spans="1:9" x14ac:dyDescent="0.2">
      <c r="A636" s="2">
        <v>7</v>
      </c>
      <c r="B636" s="1" t="s">
        <v>168</v>
      </c>
      <c r="C636" s="4">
        <v>134</v>
      </c>
      <c r="D636" s="8">
        <v>3.16</v>
      </c>
      <c r="E636" s="4">
        <v>87</v>
      </c>
      <c r="F636" s="8">
        <v>5.25</v>
      </c>
      <c r="G636" s="4">
        <v>47</v>
      </c>
      <c r="H636" s="8">
        <v>1.82</v>
      </c>
      <c r="I636" s="4">
        <v>0</v>
      </c>
    </row>
    <row r="637" spans="1:9" x14ac:dyDescent="0.2">
      <c r="A637" s="2">
        <v>8</v>
      </c>
      <c r="B637" s="1" t="s">
        <v>169</v>
      </c>
      <c r="C637" s="4">
        <v>124</v>
      </c>
      <c r="D637" s="8">
        <v>2.92</v>
      </c>
      <c r="E637" s="4">
        <v>82</v>
      </c>
      <c r="F637" s="8">
        <v>4.95</v>
      </c>
      <c r="G637" s="4">
        <v>41</v>
      </c>
      <c r="H637" s="8">
        <v>1.59</v>
      </c>
      <c r="I637" s="4">
        <v>1</v>
      </c>
    </row>
    <row r="638" spans="1:9" x14ac:dyDescent="0.2">
      <c r="A638" s="2">
        <v>9</v>
      </c>
      <c r="B638" s="1" t="s">
        <v>160</v>
      </c>
      <c r="C638" s="4">
        <v>110</v>
      </c>
      <c r="D638" s="8">
        <v>2.59</v>
      </c>
      <c r="E638" s="4">
        <v>3</v>
      </c>
      <c r="F638" s="8">
        <v>0.18</v>
      </c>
      <c r="G638" s="4">
        <v>107</v>
      </c>
      <c r="H638" s="8">
        <v>4.1399999999999997</v>
      </c>
      <c r="I638" s="4">
        <v>0</v>
      </c>
    </row>
    <row r="639" spans="1:9" x14ac:dyDescent="0.2">
      <c r="A639" s="2">
        <v>9</v>
      </c>
      <c r="B639" s="1" t="s">
        <v>161</v>
      </c>
      <c r="C639" s="4">
        <v>110</v>
      </c>
      <c r="D639" s="8">
        <v>2.59</v>
      </c>
      <c r="E639" s="4">
        <v>25</v>
      </c>
      <c r="F639" s="8">
        <v>1.51</v>
      </c>
      <c r="G639" s="4">
        <v>85</v>
      </c>
      <c r="H639" s="8">
        <v>3.29</v>
      </c>
      <c r="I639" s="4">
        <v>0</v>
      </c>
    </row>
    <row r="640" spans="1:9" x14ac:dyDescent="0.2">
      <c r="A640" s="2">
        <v>11</v>
      </c>
      <c r="B640" s="1" t="s">
        <v>170</v>
      </c>
      <c r="C640" s="4">
        <v>89</v>
      </c>
      <c r="D640" s="8">
        <v>2.1</v>
      </c>
      <c r="E640" s="4">
        <v>75</v>
      </c>
      <c r="F640" s="8">
        <v>4.53</v>
      </c>
      <c r="G640" s="4">
        <v>14</v>
      </c>
      <c r="H640" s="8">
        <v>0.54</v>
      </c>
      <c r="I640" s="4">
        <v>0</v>
      </c>
    </row>
    <row r="641" spans="1:9" x14ac:dyDescent="0.2">
      <c r="A641" s="2">
        <v>12</v>
      </c>
      <c r="B641" s="1" t="s">
        <v>199</v>
      </c>
      <c r="C641" s="4">
        <v>86</v>
      </c>
      <c r="D641" s="8">
        <v>2.0299999999999998</v>
      </c>
      <c r="E641" s="4">
        <v>20</v>
      </c>
      <c r="F641" s="8">
        <v>1.21</v>
      </c>
      <c r="G641" s="4">
        <v>66</v>
      </c>
      <c r="H641" s="8">
        <v>2.56</v>
      </c>
      <c r="I641" s="4">
        <v>0</v>
      </c>
    </row>
    <row r="642" spans="1:9" x14ac:dyDescent="0.2">
      <c r="A642" s="2">
        <v>13</v>
      </c>
      <c r="B642" s="1" t="s">
        <v>166</v>
      </c>
      <c r="C642" s="4">
        <v>82</v>
      </c>
      <c r="D642" s="8">
        <v>1.93</v>
      </c>
      <c r="E642" s="4">
        <v>5</v>
      </c>
      <c r="F642" s="8">
        <v>0.3</v>
      </c>
      <c r="G642" s="4">
        <v>76</v>
      </c>
      <c r="H642" s="8">
        <v>2.94</v>
      </c>
      <c r="I642" s="4">
        <v>1</v>
      </c>
    </row>
    <row r="643" spans="1:9" x14ac:dyDescent="0.2">
      <c r="A643" s="2">
        <v>14</v>
      </c>
      <c r="B643" s="1" t="s">
        <v>171</v>
      </c>
      <c r="C643" s="4">
        <v>73</v>
      </c>
      <c r="D643" s="8">
        <v>1.72</v>
      </c>
      <c r="E643" s="4">
        <v>62</v>
      </c>
      <c r="F643" s="8">
        <v>3.74</v>
      </c>
      <c r="G643" s="4">
        <v>11</v>
      </c>
      <c r="H643" s="8">
        <v>0.43</v>
      </c>
      <c r="I643" s="4">
        <v>0</v>
      </c>
    </row>
    <row r="644" spans="1:9" x14ac:dyDescent="0.2">
      <c r="A644" s="2">
        <v>15</v>
      </c>
      <c r="B644" s="1" t="s">
        <v>190</v>
      </c>
      <c r="C644" s="4">
        <v>65</v>
      </c>
      <c r="D644" s="8">
        <v>1.53</v>
      </c>
      <c r="E644" s="4">
        <v>19</v>
      </c>
      <c r="F644" s="8">
        <v>1.1499999999999999</v>
      </c>
      <c r="G644" s="4">
        <v>46</v>
      </c>
      <c r="H644" s="8">
        <v>1.78</v>
      </c>
      <c r="I644" s="4">
        <v>0</v>
      </c>
    </row>
    <row r="645" spans="1:9" x14ac:dyDescent="0.2">
      <c r="A645" s="2">
        <v>16</v>
      </c>
      <c r="B645" s="1" t="s">
        <v>218</v>
      </c>
      <c r="C645" s="4">
        <v>64</v>
      </c>
      <c r="D645" s="8">
        <v>1.51</v>
      </c>
      <c r="E645" s="4">
        <v>42</v>
      </c>
      <c r="F645" s="8">
        <v>2.54</v>
      </c>
      <c r="G645" s="4">
        <v>22</v>
      </c>
      <c r="H645" s="8">
        <v>0.85</v>
      </c>
      <c r="I645" s="4">
        <v>0</v>
      </c>
    </row>
    <row r="646" spans="1:9" x14ac:dyDescent="0.2">
      <c r="A646" s="2">
        <v>17</v>
      </c>
      <c r="B646" s="1" t="s">
        <v>158</v>
      </c>
      <c r="C646" s="4">
        <v>63</v>
      </c>
      <c r="D646" s="8">
        <v>1.48</v>
      </c>
      <c r="E646" s="4">
        <v>27</v>
      </c>
      <c r="F646" s="8">
        <v>1.63</v>
      </c>
      <c r="G646" s="4">
        <v>36</v>
      </c>
      <c r="H646" s="8">
        <v>1.39</v>
      </c>
      <c r="I646" s="4">
        <v>0</v>
      </c>
    </row>
    <row r="647" spans="1:9" x14ac:dyDescent="0.2">
      <c r="A647" s="2">
        <v>17</v>
      </c>
      <c r="B647" s="1" t="s">
        <v>174</v>
      </c>
      <c r="C647" s="4">
        <v>63</v>
      </c>
      <c r="D647" s="8">
        <v>1.48</v>
      </c>
      <c r="E647" s="4">
        <v>50</v>
      </c>
      <c r="F647" s="8">
        <v>3.02</v>
      </c>
      <c r="G647" s="4">
        <v>13</v>
      </c>
      <c r="H647" s="8">
        <v>0.5</v>
      </c>
      <c r="I647" s="4">
        <v>0</v>
      </c>
    </row>
    <row r="648" spans="1:9" x14ac:dyDescent="0.2">
      <c r="A648" s="2">
        <v>19</v>
      </c>
      <c r="B648" s="1" t="s">
        <v>167</v>
      </c>
      <c r="C648" s="4">
        <v>61</v>
      </c>
      <c r="D648" s="8">
        <v>1.44</v>
      </c>
      <c r="E648" s="4">
        <v>15</v>
      </c>
      <c r="F648" s="8">
        <v>0.91</v>
      </c>
      <c r="G648" s="4">
        <v>46</v>
      </c>
      <c r="H648" s="8">
        <v>1.78</v>
      </c>
      <c r="I648" s="4">
        <v>0</v>
      </c>
    </row>
    <row r="649" spans="1:9" x14ac:dyDescent="0.2">
      <c r="A649" s="2">
        <v>20</v>
      </c>
      <c r="B649" s="1" t="s">
        <v>157</v>
      </c>
      <c r="C649" s="4">
        <v>59</v>
      </c>
      <c r="D649" s="8">
        <v>1.39</v>
      </c>
      <c r="E649" s="4">
        <v>1</v>
      </c>
      <c r="F649" s="8">
        <v>0.06</v>
      </c>
      <c r="G649" s="4">
        <v>57</v>
      </c>
      <c r="H649" s="8">
        <v>2.21</v>
      </c>
      <c r="I649" s="4">
        <v>1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  <row r="651" spans="1:9" x14ac:dyDescent="0.2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2">
      <c r="A652" s="2">
        <v>1</v>
      </c>
      <c r="B652" s="1" t="s">
        <v>162</v>
      </c>
      <c r="C652" s="4">
        <v>507</v>
      </c>
      <c r="D652" s="8">
        <v>16.8</v>
      </c>
      <c r="E652" s="4">
        <v>361</v>
      </c>
      <c r="F652" s="8">
        <v>28.14</v>
      </c>
      <c r="G652" s="4">
        <v>146</v>
      </c>
      <c r="H652" s="8">
        <v>8.42</v>
      </c>
      <c r="I652" s="4">
        <v>0</v>
      </c>
    </row>
    <row r="653" spans="1:9" x14ac:dyDescent="0.2">
      <c r="A653" s="2">
        <v>2</v>
      </c>
      <c r="B653" s="1" t="s">
        <v>163</v>
      </c>
      <c r="C653" s="4">
        <v>114</v>
      </c>
      <c r="D653" s="8">
        <v>3.78</v>
      </c>
      <c r="E653" s="4">
        <v>6</v>
      </c>
      <c r="F653" s="8">
        <v>0.47</v>
      </c>
      <c r="G653" s="4">
        <v>108</v>
      </c>
      <c r="H653" s="8">
        <v>6.23</v>
      </c>
      <c r="I653" s="4">
        <v>0</v>
      </c>
    </row>
    <row r="654" spans="1:9" x14ac:dyDescent="0.2">
      <c r="A654" s="2">
        <v>3</v>
      </c>
      <c r="B654" s="1" t="s">
        <v>172</v>
      </c>
      <c r="C654" s="4">
        <v>96</v>
      </c>
      <c r="D654" s="8">
        <v>3.18</v>
      </c>
      <c r="E654" s="4">
        <v>84</v>
      </c>
      <c r="F654" s="8">
        <v>6.55</v>
      </c>
      <c r="G654" s="4">
        <v>12</v>
      </c>
      <c r="H654" s="8">
        <v>0.69</v>
      </c>
      <c r="I654" s="4">
        <v>0</v>
      </c>
    </row>
    <row r="655" spans="1:9" x14ac:dyDescent="0.2">
      <c r="A655" s="2">
        <v>4</v>
      </c>
      <c r="B655" s="1" t="s">
        <v>161</v>
      </c>
      <c r="C655" s="4">
        <v>71</v>
      </c>
      <c r="D655" s="8">
        <v>2.35</v>
      </c>
      <c r="E655" s="4">
        <v>13</v>
      </c>
      <c r="F655" s="8">
        <v>1.01</v>
      </c>
      <c r="G655" s="4">
        <v>58</v>
      </c>
      <c r="H655" s="8">
        <v>3.34</v>
      </c>
      <c r="I655" s="4">
        <v>0</v>
      </c>
    </row>
    <row r="656" spans="1:9" x14ac:dyDescent="0.2">
      <c r="A656" s="2">
        <v>5</v>
      </c>
      <c r="B656" s="1" t="s">
        <v>175</v>
      </c>
      <c r="C656" s="4">
        <v>66</v>
      </c>
      <c r="D656" s="8">
        <v>2.19</v>
      </c>
      <c r="E656" s="4">
        <v>53</v>
      </c>
      <c r="F656" s="8">
        <v>4.13</v>
      </c>
      <c r="G656" s="4">
        <v>13</v>
      </c>
      <c r="H656" s="8">
        <v>0.75</v>
      </c>
      <c r="I656" s="4">
        <v>0</v>
      </c>
    </row>
    <row r="657" spans="1:9" x14ac:dyDescent="0.2">
      <c r="A657" s="2">
        <v>6</v>
      </c>
      <c r="B657" s="1" t="s">
        <v>173</v>
      </c>
      <c r="C657" s="4">
        <v>63</v>
      </c>
      <c r="D657" s="8">
        <v>2.09</v>
      </c>
      <c r="E657" s="4">
        <v>43</v>
      </c>
      <c r="F657" s="8">
        <v>3.35</v>
      </c>
      <c r="G657" s="4">
        <v>20</v>
      </c>
      <c r="H657" s="8">
        <v>1.1499999999999999</v>
      </c>
      <c r="I657" s="4">
        <v>0</v>
      </c>
    </row>
    <row r="658" spans="1:9" x14ac:dyDescent="0.2">
      <c r="A658" s="2">
        <v>7</v>
      </c>
      <c r="B658" s="1" t="s">
        <v>171</v>
      </c>
      <c r="C658" s="4">
        <v>57</v>
      </c>
      <c r="D658" s="8">
        <v>1.89</v>
      </c>
      <c r="E658" s="4">
        <v>52</v>
      </c>
      <c r="F658" s="8">
        <v>4.05</v>
      </c>
      <c r="G658" s="4">
        <v>5</v>
      </c>
      <c r="H658" s="8">
        <v>0.28999999999999998</v>
      </c>
      <c r="I658" s="4">
        <v>0</v>
      </c>
    </row>
    <row r="659" spans="1:9" x14ac:dyDescent="0.2">
      <c r="A659" s="2">
        <v>8</v>
      </c>
      <c r="B659" s="1" t="s">
        <v>168</v>
      </c>
      <c r="C659" s="4">
        <v>56</v>
      </c>
      <c r="D659" s="8">
        <v>1.86</v>
      </c>
      <c r="E659" s="4">
        <v>44</v>
      </c>
      <c r="F659" s="8">
        <v>3.43</v>
      </c>
      <c r="G659" s="4">
        <v>12</v>
      </c>
      <c r="H659" s="8">
        <v>0.69</v>
      </c>
      <c r="I659" s="4">
        <v>0</v>
      </c>
    </row>
    <row r="660" spans="1:9" x14ac:dyDescent="0.2">
      <c r="A660" s="2">
        <v>9</v>
      </c>
      <c r="B660" s="1" t="s">
        <v>200</v>
      </c>
      <c r="C660" s="4">
        <v>55</v>
      </c>
      <c r="D660" s="8">
        <v>1.82</v>
      </c>
      <c r="E660" s="4">
        <v>5</v>
      </c>
      <c r="F660" s="8">
        <v>0.39</v>
      </c>
      <c r="G660" s="4">
        <v>50</v>
      </c>
      <c r="H660" s="8">
        <v>2.88</v>
      </c>
      <c r="I660" s="4">
        <v>0</v>
      </c>
    </row>
    <row r="661" spans="1:9" x14ac:dyDescent="0.2">
      <c r="A661" s="2">
        <v>10</v>
      </c>
      <c r="B661" s="1" t="s">
        <v>160</v>
      </c>
      <c r="C661" s="4">
        <v>53</v>
      </c>
      <c r="D661" s="8">
        <v>1.76</v>
      </c>
      <c r="E661" s="4">
        <v>5</v>
      </c>
      <c r="F661" s="8">
        <v>0.39</v>
      </c>
      <c r="G661" s="4">
        <v>48</v>
      </c>
      <c r="H661" s="8">
        <v>2.77</v>
      </c>
      <c r="I661" s="4">
        <v>0</v>
      </c>
    </row>
    <row r="662" spans="1:9" x14ac:dyDescent="0.2">
      <c r="A662" s="2">
        <v>11</v>
      </c>
      <c r="B662" s="1" t="s">
        <v>169</v>
      </c>
      <c r="C662" s="4">
        <v>50</v>
      </c>
      <c r="D662" s="8">
        <v>1.66</v>
      </c>
      <c r="E662" s="4">
        <v>41</v>
      </c>
      <c r="F662" s="8">
        <v>3.2</v>
      </c>
      <c r="G662" s="4">
        <v>9</v>
      </c>
      <c r="H662" s="8">
        <v>0.52</v>
      </c>
      <c r="I662" s="4">
        <v>0</v>
      </c>
    </row>
    <row r="663" spans="1:9" x14ac:dyDescent="0.2">
      <c r="A663" s="2">
        <v>12</v>
      </c>
      <c r="B663" s="1" t="s">
        <v>206</v>
      </c>
      <c r="C663" s="4">
        <v>48</v>
      </c>
      <c r="D663" s="8">
        <v>1.59</v>
      </c>
      <c r="E663" s="4">
        <v>2</v>
      </c>
      <c r="F663" s="8">
        <v>0.16</v>
      </c>
      <c r="G663" s="4">
        <v>46</v>
      </c>
      <c r="H663" s="8">
        <v>2.65</v>
      </c>
      <c r="I663" s="4">
        <v>0</v>
      </c>
    </row>
    <row r="664" spans="1:9" x14ac:dyDescent="0.2">
      <c r="A664" s="2">
        <v>13</v>
      </c>
      <c r="B664" s="1" t="s">
        <v>167</v>
      </c>
      <c r="C664" s="4">
        <v>46</v>
      </c>
      <c r="D664" s="8">
        <v>1.52</v>
      </c>
      <c r="E664" s="4">
        <v>7</v>
      </c>
      <c r="F664" s="8">
        <v>0.55000000000000004</v>
      </c>
      <c r="G664" s="4">
        <v>39</v>
      </c>
      <c r="H664" s="8">
        <v>2.25</v>
      </c>
      <c r="I664" s="4">
        <v>0</v>
      </c>
    </row>
    <row r="665" spans="1:9" x14ac:dyDescent="0.2">
      <c r="A665" s="2">
        <v>14</v>
      </c>
      <c r="B665" s="1" t="s">
        <v>197</v>
      </c>
      <c r="C665" s="4">
        <v>45</v>
      </c>
      <c r="D665" s="8">
        <v>1.49</v>
      </c>
      <c r="E665" s="4">
        <v>25</v>
      </c>
      <c r="F665" s="8">
        <v>1.95</v>
      </c>
      <c r="G665" s="4">
        <v>20</v>
      </c>
      <c r="H665" s="8">
        <v>1.1499999999999999</v>
      </c>
      <c r="I665" s="4">
        <v>0</v>
      </c>
    </row>
    <row r="666" spans="1:9" x14ac:dyDescent="0.2">
      <c r="A666" s="2">
        <v>15</v>
      </c>
      <c r="B666" s="1" t="s">
        <v>166</v>
      </c>
      <c r="C666" s="4">
        <v>44</v>
      </c>
      <c r="D666" s="8">
        <v>1.46</v>
      </c>
      <c r="E666" s="4">
        <v>1</v>
      </c>
      <c r="F666" s="8">
        <v>0.08</v>
      </c>
      <c r="G666" s="4">
        <v>43</v>
      </c>
      <c r="H666" s="8">
        <v>2.48</v>
      </c>
      <c r="I666" s="4">
        <v>0</v>
      </c>
    </row>
    <row r="667" spans="1:9" x14ac:dyDescent="0.2">
      <c r="A667" s="2">
        <v>16</v>
      </c>
      <c r="B667" s="1" t="s">
        <v>158</v>
      </c>
      <c r="C667" s="4">
        <v>42</v>
      </c>
      <c r="D667" s="8">
        <v>1.39</v>
      </c>
      <c r="E667" s="4">
        <v>25</v>
      </c>
      <c r="F667" s="8">
        <v>1.95</v>
      </c>
      <c r="G667" s="4">
        <v>17</v>
      </c>
      <c r="H667" s="8">
        <v>0.98</v>
      </c>
      <c r="I667" s="4">
        <v>0</v>
      </c>
    </row>
    <row r="668" spans="1:9" x14ac:dyDescent="0.2">
      <c r="A668" s="2">
        <v>17</v>
      </c>
      <c r="B668" s="1" t="s">
        <v>198</v>
      </c>
      <c r="C668" s="4">
        <v>39</v>
      </c>
      <c r="D668" s="8">
        <v>1.29</v>
      </c>
      <c r="E668" s="4">
        <v>11</v>
      </c>
      <c r="F668" s="8">
        <v>0.86</v>
      </c>
      <c r="G668" s="4">
        <v>28</v>
      </c>
      <c r="H668" s="8">
        <v>1.61</v>
      </c>
      <c r="I668" s="4">
        <v>0</v>
      </c>
    </row>
    <row r="669" spans="1:9" x14ac:dyDescent="0.2">
      <c r="A669" s="2">
        <v>17</v>
      </c>
      <c r="B669" s="1" t="s">
        <v>170</v>
      </c>
      <c r="C669" s="4">
        <v>39</v>
      </c>
      <c r="D669" s="8">
        <v>1.29</v>
      </c>
      <c r="E669" s="4">
        <v>33</v>
      </c>
      <c r="F669" s="8">
        <v>2.57</v>
      </c>
      <c r="G669" s="4">
        <v>6</v>
      </c>
      <c r="H669" s="8">
        <v>0.35</v>
      </c>
      <c r="I669" s="4">
        <v>0</v>
      </c>
    </row>
    <row r="670" spans="1:9" x14ac:dyDescent="0.2">
      <c r="A670" s="2">
        <v>17</v>
      </c>
      <c r="B670" s="1" t="s">
        <v>222</v>
      </c>
      <c r="C670" s="4">
        <v>39</v>
      </c>
      <c r="D670" s="8">
        <v>1.29</v>
      </c>
      <c r="E670" s="4">
        <v>1</v>
      </c>
      <c r="F670" s="8">
        <v>0.08</v>
      </c>
      <c r="G670" s="4">
        <v>38</v>
      </c>
      <c r="H670" s="8">
        <v>2.19</v>
      </c>
      <c r="I670" s="4">
        <v>0</v>
      </c>
    </row>
    <row r="671" spans="1:9" x14ac:dyDescent="0.2">
      <c r="A671" s="2">
        <v>20</v>
      </c>
      <c r="B671" s="1" t="s">
        <v>174</v>
      </c>
      <c r="C671" s="4">
        <v>38</v>
      </c>
      <c r="D671" s="8">
        <v>1.26</v>
      </c>
      <c r="E671" s="4">
        <v>35</v>
      </c>
      <c r="F671" s="8">
        <v>2.73</v>
      </c>
      <c r="G671" s="4">
        <v>3</v>
      </c>
      <c r="H671" s="8">
        <v>0.17</v>
      </c>
      <c r="I671" s="4">
        <v>0</v>
      </c>
    </row>
    <row r="672" spans="1:9" x14ac:dyDescent="0.2">
      <c r="A672" s="1"/>
      <c r="C672" s="4"/>
      <c r="D672" s="8"/>
      <c r="E672" s="4"/>
      <c r="F672" s="8"/>
      <c r="G672" s="4"/>
      <c r="H672" s="8"/>
      <c r="I672" s="4"/>
    </row>
    <row r="673" spans="1:9" x14ac:dyDescent="0.2">
      <c r="A673" s="1" t="s">
        <v>30</v>
      </c>
      <c r="C673" s="4"/>
      <c r="D673" s="8"/>
      <c r="E673" s="4"/>
      <c r="F673" s="8"/>
      <c r="G673" s="4"/>
      <c r="H673" s="8"/>
      <c r="I673" s="4"/>
    </row>
    <row r="674" spans="1:9" x14ac:dyDescent="0.2">
      <c r="A674" s="2">
        <v>1</v>
      </c>
      <c r="B674" s="1" t="s">
        <v>172</v>
      </c>
      <c r="C674" s="4">
        <v>99</v>
      </c>
      <c r="D674" s="8">
        <v>3.96</v>
      </c>
      <c r="E674" s="4">
        <v>91</v>
      </c>
      <c r="F674" s="8">
        <v>7.04</v>
      </c>
      <c r="G674" s="4">
        <v>8</v>
      </c>
      <c r="H674" s="8">
        <v>0.66</v>
      </c>
      <c r="I674" s="4">
        <v>0</v>
      </c>
    </row>
    <row r="675" spans="1:9" x14ac:dyDescent="0.2">
      <c r="A675" s="2">
        <v>2</v>
      </c>
      <c r="B675" s="1" t="s">
        <v>171</v>
      </c>
      <c r="C675" s="4">
        <v>83</v>
      </c>
      <c r="D675" s="8">
        <v>3.32</v>
      </c>
      <c r="E675" s="4">
        <v>77</v>
      </c>
      <c r="F675" s="8">
        <v>5.96</v>
      </c>
      <c r="G675" s="4">
        <v>6</v>
      </c>
      <c r="H675" s="8">
        <v>0.5</v>
      </c>
      <c r="I675" s="4">
        <v>0</v>
      </c>
    </row>
    <row r="676" spans="1:9" x14ac:dyDescent="0.2">
      <c r="A676" s="2">
        <v>3</v>
      </c>
      <c r="B676" s="1" t="s">
        <v>162</v>
      </c>
      <c r="C676" s="4">
        <v>75</v>
      </c>
      <c r="D676" s="8">
        <v>3</v>
      </c>
      <c r="E676" s="4">
        <v>20</v>
      </c>
      <c r="F676" s="8">
        <v>1.55</v>
      </c>
      <c r="G676" s="4">
        <v>54</v>
      </c>
      <c r="H676" s="8">
        <v>4.49</v>
      </c>
      <c r="I676" s="4">
        <v>0</v>
      </c>
    </row>
    <row r="677" spans="1:9" x14ac:dyDescent="0.2">
      <c r="A677" s="2">
        <v>4</v>
      </c>
      <c r="B677" s="1" t="s">
        <v>169</v>
      </c>
      <c r="C677" s="4">
        <v>73</v>
      </c>
      <c r="D677" s="8">
        <v>2.92</v>
      </c>
      <c r="E677" s="4">
        <v>68</v>
      </c>
      <c r="F677" s="8">
        <v>5.26</v>
      </c>
      <c r="G677" s="4">
        <v>5</v>
      </c>
      <c r="H677" s="8">
        <v>0.42</v>
      </c>
      <c r="I677" s="4">
        <v>0</v>
      </c>
    </row>
    <row r="678" spans="1:9" x14ac:dyDescent="0.2">
      <c r="A678" s="2">
        <v>5</v>
      </c>
      <c r="B678" s="1" t="s">
        <v>173</v>
      </c>
      <c r="C678" s="4">
        <v>63</v>
      </c>
      <c r="D678" s="8">
        <v>2.52</v>
      </c>
      <c r="E678" s="4">
        <v>51</v>
      </c>
      <c r="F678" s="8">
        <v>3.95</v>
      </c>
      <c r="G678" s="4">
        <v>12</v>
      </c>
      <c r="H678" s="8">
        <v>1</v>
      </c>
      <c r="I678" s="4">
        <v>0</v>
      </c>
    </row>
    <row r="679" spans="1:9" x14ac:dyDescent="0.2">
      <c r="A679" s="2">
        <v>6</v>
      </c>
      <c r="B679" s="1" t="s">
        <v>168</v>
      </c>
      <c r="C679" s="4">
        <v>60</v>
      </c>
      <c r="D679" s="8">
        <v>2.4</v>
      </c>
      <c r="E679" s="4">
        <v>52</v>
      </c>
      <c r="F679" s="8">
        <v>4.0199999999999996</v>
      </c>
      <c r="G679" s="4">
        <v>8</v>
      </c>
      <c r="H679" s="8">
        <v>0.66</v>
      </c>
      <c r="I679" s="4">
        <v>0</v>
      </c>
    </row>
    <row r="680" spans="1:9" x14ac:dyDescent="0.2">
      <c r="A680" s="2">
        <v>7</v>
      </c>
      <c r="B680" s="1" t="s">
        <v>223</v>
      </c>
      <c r="C680" s="4">
        <v>59</v>
      </c>
      <c r="D680" s="8">
        <v>2.36</v>
      </c>
      <c r="E680" s="4">
        <v>47</v>
      </c>
      <c r="F680" s="8">
        <v>3.64</v>
      </c>
      <c r="G680" s="4">
        <v>12</v>
      </c>
      <c r="H680" s="8">
        <v>1</v>
      </c>
      <c r="I680" s="4">
        <v>0</v>
      </c>
    </row>
    <row r="681" spans="1:9" x14ac:dyDescent="0.2">
      <c r="A681" s="2">
        <v>7</v>
      </c>
      <c r="B681" s="1" t="s">
        <v>175</v>
      </c>
      <c r="C681" s="4">
        <v>59</v>
      </c>
      <c r="D681" s="8">
        <v>2.36</v>
      </c>
      <c r="E681" s="4">
        <v>50</v>
      </c>
      <c r="F681" s="8">
        <v>3.87</v>
      </c>
      <c r="G681" s="4">
        <v>9</v>
      </c>
      <c r="H681" s="8">
        <v>0.75</v>
      </c>
      <c r="I681" s="4">
        <v>0</v>
      </c>
    </row>
    <row r="682" spans="1:9" x14ac:dyDescent="0.2">
      <c r="A682" s="2">
        <v>9</v>
      </c>
      <c r="B682" s="1" t="s">
        <v>221</v>
      </c>
      <c r="C682" s="4">
        <v>58</v>
      </c>
      <c r="D682" s="8">
        <v>2.3199999999999998</v>
      </c>
      <c r="E682" s="4">
        <v>27</v>
      </c>
      <c r="F682" s="8">
        <v>2.09</v>
      </c>
      <c r="G682" s="4">
        <v>31</v>
      </c>
      <c r="H682" s="8">
        <v>2.57</v>
      </c>
      <c r="I682" s="4">
        <v>0</v>
      </c>
    </row>
    <row r="683" spans="1:9" x14ac:dyDescent="0.2">
      <c r="A683" s="2">
        <v>10</v>
      </c>
      <c r="B683" s="1" t="s">
        <v>220</v>
      </c>
      <c r="C683" s="4">
        <v>57</v>
      </c>
      <c r="D683" s="8">
        <v>2.2799999999999998</v>
      </c>
      <c r="E683" s="4">
        <v>7</v>
      </c>
      <c r="F683" s="8">
        <v>0.54</v>
      </c>
      <c r="G683" s="4">
        <v>50</v>
      </c>
      <c r="H683" s="8">
        <v>4.1500000000000004</v>
      </c>
      <c r="I683" s="4">
        <v>0</v>
      </c>
    </row>
    <row r="684" spans="1:9" x14ac:dyDescent="0.2">
      <c r="A684" s="2">
        <v>11</v>
      </c>
      <c r="B684" s="1" t="s">
        <v>159</v>
      </c>
      <c r="C684" s="4">
        <v>51</v>
      </c>
      <c r="D684" s="8">
        <v>2.04</v>
      </c>
      <c r="E684" s="4">
        <v>34</v>
      </c>
      <c r="F684" s="8">
        <v>2.63</v>
      </c>
      <c r="G684" s="4">
        <v>17</v>
      </c>
      <c r="H684" s="8">
        <v>1.41</v>
      </c>
      <c r="I684" s="4">
        <v>0</v>
      </c>
    </row>
    <row r="685" spans="1:9" x14ac:dyDescent="0.2">
      <c r="A685" s="2">
        <v>12</v>
      </c>
      <c r="B685" s="1" t="s">
        <v>192</v>
      </c>
      <c r="C685" s="4">
        <v>48</v>
      </c>
      <c r="D685" s="8">
        <v>1.92</v>
      </c>
      <c r="E685" s="4">
        <v>16</v>
      </c>
      <c r="F685" s="8">
        <v>1.24</v>
      </c>
      <c r="G685" s="4">
        <v>32</v>
      </c>
      <c r="H685" s="8">
        <v>2.66</v>
      </c>
      <c r="I685" s="4">
        <v>0</v>
      </c>
    </row>
    <row r="686" spans="1:9" x14ac:dyDescent="0.2">
      <c r="A686" s="2">
        <v>13</v>
      </c>
      <c r="B686" s="1" t="s">
        <v>170</v>
      </c>
      <c r="C686" s="4">
        <v>46</v>
      </c>
      <c r="D686" s="8">
        <v>1.84</v>
      </c>
      <c r="E686" s="4">
        <v>42</v>
      </c>
      <c r="F686" s="8">
        <v>3.25</v>
      </c>
      <c r="G686" s="4">
        <v>4</v>
      </c>
      <c r="H686" s="8">
        <v>0.33</v>
      </c>
      <c r="I686" s="4">
        <v>0</v>
      </c>
    </row>
    <row r="687" spans="1:9" x14ac:dyDescent="0.2">
      <c r="A687" s="2">
        <v>14</v>
      </c>
      <c r="B687" s="1" t="s">
        <v>158</v>
      </c>
      <c r="C687" s="4">
        <v>41</v>
      </c>
      <c r="D687" s="8">
        <v>1.64</v>
      </c>
      <c r="E687" s="4">
        <v>33</v>
      </c>
      <c r="F687" s="8">
        <v>2.5499999999999998</v>
      </c>
      <c r="G687" s="4">
        <v>8</v>
      </c>
      <c r="H687" s="8">
        <v>0.66</v>
      </c>
      <c r="I687" s="4">
        <v>0</v>
      </c>
    </row>
    <row r="688" spans="1:9" x14ac:dyDescent="0.2">
      <c r="A688" s="2">
        <v>14</v>
      </c>
      <c r="B688" s="1" t="s">
        <v>224</v>
      </c>
      <c r="C688" s="4">
        <v>41</v>
      </c>
      <c r="D688" s="8">
        <v>1.64</v>
      </c>
      <c r="E688" s="4">
        <v>24</v>
      </c>
      <c r="F688" s="8">
        <v>1.86</v>
      </c>
      <c r="G688" s="4">
        <v>17</v>
      </c>
      <c r="H688" s="8">
        <v>1.41</v>
      </c>
      <c r="I688" s="4">
        <v>0</v>
      </c>
    </row>
    <row r="689" spans="1:9" x14ac:dyDescent="0.2">
      <c r="A689" s="2">
        <v>16</v>
      </c>
      <c r="B689" s="1" t="s">
        <v>163</v>
      </c>
      <c r="C689" s="4">
        <v>39</v>
      </c>
      <c r="D689" s="8">
        <v>1.56</v>
      </c>
      <c r="E689" s="4">
        <v>1</v>
      </c>
      <c r="F689" s="8">
        <v>0.08</v>
      </c>
      <c r="G689" s="4">
        <v>37</v>
      </c>
      <c r="H689" s="8">
        <v>3.07</v>
      </c>
      <c r="I689" s="4">
        <v>1</v>
      </c>
    </row>
    <row r="690" spans="1:9" x14ac:dyDescent="0.2">
      <c r="A690" s="2">
        <v>16</v>
      </c>
      <c r="B690" s="1" t="s">
        <v>191</v>
      </c>
      <c r="C690" s="4">
        <v>39</v>
      </c>
      <c r="D690" s="8">
        <v>1.56</v>
      </c>
      <c r="E690" s="4">
        <v>35</v>
      </c>
      <c r="F690" s="8">
        <v>2.71</v>
      </c>
      <c r="G690" s="4">
        <v>3</v>
      </c>
      <c r="H690" s="8">
        <v>0.25</v>
      </c>
      <c r="I690" s="4">
        <v>1</v>
      </c>
    </row>
    <row r="691" spans="1:9" x14ac:dyDescent="0.2">
      <c r="A691" s="2">
        <v>18</v>
      </c>
      <c r="B691" s="1" t="s">
        <v>201</v>
      </c>
      <c r="C691" s="4">
        <v>38</v>
      </c>
      <c r="D691" s="8">
        <v>1.52</v>
      </c>
      <c r="E691" s="4">
        <v>14</v>
      </c>
      <c r="F691" s="8">
        <v>1.08</v>
      </c>
      <c r="G691" s="4">
        <v>24</v>
      </c>
      <c r="H691" s="8">
        <v>1.99</v>
      </c>
      <c r="I691" s="4">
        <v>0</v>
      </c>
    </row>
    <row r="692" spans="1:9" x14ac:dyDescent="0.2">
      <c r="A692" s="2">
        <v>19</v>
      </c>
      <c r="B692" s="1" t="s">
        <v>205</v>
      </c>
      <c r="C692" s="4">
        <v>32</v>
      </c>
      <c r="D692" s="8">
        <v>1.28</v>
      </c>
      <c r="E692" s="4">
        <v>25</v>
      </c>
      <c r="F692" s="8">
        <v>1.93</v>
      </c>
      <c r="G692" s="4">
        <v>7</v>
      </c>
      <c r="H692" s="8">
        <v>0.57999999999999996</v>
      </c>
      <c r="I692" s="4">
        <v>0</v>
      </c>
    </row>
    <row r="693" spans="1:9" x14ac:dyDescent="0.2">
      <c r="A693" s="2">
        <v>19</v>
      </c>
      <c r="B693" s="1" t="s">
        <v>197</v>
      </c>
      <c r="C693" s="4">
        <v>32</v>
      </c>
      <c r="D693" s="8">
        <v>1.28</v>
      </c>
      <c r="E693" s="4">
        <v>16</v>
      </c>
      <c r="F693" s="8">
        <v>1.24</v>
      </c>
      <c r="G693" s="4">
        <v>16</v>
      </c>
      <c r="H693" s="8">
        <v>1.33</v>
      </c>
      <c r="I693" s="4">
        <v>0</v>
      </c>
    </row>
    <row r="694" spans="1:9" x14ac:dyDescent="0.2">
      <c r="A694" s="1"/>
      <c r="C694" s="4"/>
      <c r="D694" s="8"/>
      <c r="E694" s="4"/>
      <c r="F694" s="8"/>
      <c r="G694" s="4"/>
      <c r="H694" s="8"/>
      <c r="I694" s="4"/>
    </row>
    <row r="695" spans="1:9" x14ac:dyDescent="0.2">
      <c r="A695" s="1" t="s">
        <v>31</v>
      </c>
      <c r="C695" s="4"/>
      <c r="D695" s="8"/>
      <c r="E695" s="4"/>
      <c r="F695" s="8"/>
      <c r="G695" s="4"/>
      <c r="H695" s="8"/>
      <c r="I695" s="4"/>
    </row>
    <row r="696" spans="1:9" x14ac:dyDescent="0.2">
      <c r="A696" s="2">
        <v>1</v>
      </c>
      <c r="B696" s="1" t="s">
        <v>162</v>
      </c>
      <c r="C696" s="4">
        <v>353</v>
      </c>
      <c r="D696" s="8">
        <v>8.61</v>
      </c>
      <c r="E696" s="4">
        <v>163</v>
      </c>
      <c r="F696" s="8">
        <v>10.77</v>
      </c>
      <c r="G696" s="4">
        <v>189</v>
      </c>
      <c r="H696" s="8">
        <v>7.34</v>
      </c>
      <c r="I696" s="4">
        <v>0</v>
      </c>
    </row>
    <row r="697" spans="1:9" x14ac:dyDescent="0.2">
      <c r="A697" s="2">
        <v>2</v>
      </c>
      <c r="B697" s="1" t="s">
        <v>172</v>
      </c>
      <c r="C697" s="4">
        <v>158</v>
      </c>
      <c r="D697" s="8">
        <v>3.85</v>
      </c>
      <c r="E697" s="4">
        <v>130</v>
      </c>
      <c r="F697" s="8">
        <v>8.59</v>
      </c>
      <c r="G697" s="4">
        <v>28</v>
      </c>
      <c r="H697" s="8">
        <v>1.0900000000000001</v>
      </c>
      <c r="I697" s="4">
        <v>0</v>
      </c>
    </row>
    <row r="698" spans="1:9" x14ac:dyDescent="0.2">
      <c r="A698" s="2">
        <v>3</v>
      </c>
      <c r="B698" s="1" t="s">
        <v>163</v>
      </c>
      <c r="C698" s="4">
        <v>120</v>
      </c>
      <c r="D698" s="8">
        <v>2.93</v>
      </c>
      <c r="E698" s="4">
        <v>4</v>
      </c>
      <c r="F698" s="8">
        <v>0.26</v>
      </c>
      <c r="G698" s="4">
        <v>115</v>
      </c>
      <c r="H698" s="8">
        <v>4.46</v>
      </c>
      <c r="I698" s="4">
        <v>0</v>
      </c>
    </row>
    <row r="699" spans="1:9" x14ac:dyDescent="0.2">
      <c r="A699" s="2">
        <v>4</v>
      </c>
      <c r="B699" s="1" t="s">
        <v>175</v>
      </c>
      <c r="C699" s="4">
        <v>115</v>
      </c>
      <c r="D699" s="8">
        <v>2.8</v>
      </c>
      <c r="E699" s="4">
        <v>103</v>
      </c>
      <c r="F699" s="8">
        <v>6.8</v>
      </c>
      <c r="G699" s="4">
        <v>12</v>
      </c>
      <c r="H699" s="8">
        <v>0.47</v>
      </c>
      <c r="I699" s="4">
        <v>0</v>
      </c>
    </row>
    <row r="700" spans="1:9" x14ac:dyDescent="0.2">
      <c r="A700" s="2">
        <v>5</v>
      </c>
      <c r="B700" s="1" t="s">
        <v>168</v>
      </c>
      <c r="C700" s="4">
        <v>102</v>
      </c>
      <c r="D700" s="8">
        <v>2.4900000000000002</v>
      </c>
      <c r="E700" s="4">
        <v>73</v>
      </c>
      <c r="F700" s="8">
        <v>4.82</v>
      </c>
      <c r="G700" s="4">
        <v>29</v>
      </c>
      <c r="H700" s="8">
        <v>1.1299999999999999</v>
      </c>
      <c r="I700" s="4">
        <v>0</v>
      </c>
    </row>
    <row r="701" spans="1:9" x14ac:dyDescent="0.2">
      <c r="A701" s="2">
        <v>6</v>
      </c>
      <c r="B701" s="1" t="s">
        <v>173</v>
      </c>
      <c r="C701" s="4">
        <v>100</v>
      </c>
      <c r="D701" s="8">
        <v>2.44</v>
      </c>
      <c r="E701" s="4">
        <v>65</v>
      </c>
      <c r="F701" s="8">
        <v>4.29</v>
      </c>
      <c r="G701" s="4">
        <v>35</v>
      </c>
      <c r="H701" s="8">
        <v>1.36</v>
      </c>
      <c r="I701" s="4">
        <v>0</v>
      </c>
    </row>
    <row r="702" spans="1:9" x14ac:dyDescent="0.2">
      <c r="A702" s="2">
        <v>7</v>
      </c>
      <c r="B702" s="1" t="s">
        <v>171</v>
      </c>
      <c r="C702" s="4">
        <v>98</v>
      </c>
      <c r="D702" s="8">
        <v>2.39</v>
      </c>
      <c r="E702" s="4">
        <v>88</v>
      </c>
      <c r="F702" s="8">
        <v>5.81</v>
      </c>
      <c r="G702" s="4">
        <v>10</v>
      </c>
      <c r="H702" s="8">
        <v>0.39</v>
      </c>
      <c r="I702" s="4">
        <v>0</v>
      </c>
    </row>
    <row r="703" spans="1:9" x14ac:dyDescent="0.2">
      <c r="A703" s="2">
        <v>8</v>
      </c>
      <c r="B703" s="1" t="s">
        <v>169</v>
      </c>
      <c r="C703" s="4">
        <v>95</v>
      </c>
      <c r="D703" s="8">
        <v>2.3199999999999998</v>
      </c>
      <c r="E703" s="4">
        <v>79</v>
      </c>
      <c r="F703" s="8">
        <v>5.22</v>
      </c>
      <c r="G703" s="4">
        <v>16</v>
      </c>
      <c r="H703" s="8">
        <v>0.62</v>
      </c>
      <c r="I703" s="4">
        <v>0</v>
      </c>
    </row>
    <row r="704" spans="1:9" x14ac:dyDescent="0.2">
      <c r="A704" s="2">
        <v>9</v>
      </c>
      <c r="B704" s="1" t="s">
        <v>159</v>
      </c>
      <c r="C704" s="4">
        <v>94</v>
      </c>
      <c r="D704" s="8">
        <v>2.29</v>
      </c>
      <c r="E704" s="4">
        <v>39</v>
      </c>
      <c r="F704" s="8">
        <v>2.58</v>
      </c>
      <c r="G704" s="4">
        <v>55</v>
      </c>
      <c r="H704" s="8">
        <v>2.14</v>
      </c>
      <c r="I704" s="4">
        <v>0</v>
      </c>
    </row>
    <row r="705" spans="1:9" x14ac:dyDescent="0.2">
      <c r="A705" s="2">
        <v>10</v>
      </c>
      <c r="B705" s="1" t="s">
        <v>192</v>
      </c>
      <c r="C705" s="4">
        <v>84</v>
      </c>
      <c r="D705" s="8">
        <v>2.0499999999999998</v>
      </c>
      <c r="E705" s="4">
        <v>7</v>
      </c>
      <c r="F705" s="8">
        <v>0.46</v>
      </c>
      <c r="G705" s="4">
        <v>77</v>
      </c>
      <c r="H705" s="8">
        <v>2.99</v>
      </c>
      <c r="I705" s="4">
        <v>0</v>
      </c>
    </row>
    <row r="706" spans="1:9" x14ac:dyDescent="0.2">
      <c r="A706" s="2">
        <v>11</v>
      </c>
      <c r="B706" s="1" t="s">
        <v>201</v>
      </c>
      <c r="C706" s="4">
        <v>78</v>
      </c>
      <c r="D706" s="8">
        <v>1.9</v>
      </c>
      <c r="E706" s="4">
        <v>3</v>
      </c>
      <c r="F706" s="8">
        <v>0.2</v>
      </c>
      <c r="G706" s="4">
        <v>75</v>
      </c>
      <c r="H706" s="8">
        <v>2.91</v>
      </c>
      <c r="I706" s="4">
        <v>0</v>
      </c>
    </row>
    <row r="707" spans="1:9" x14ac:dyDescent="0.2">
      <c r="A707" s="2">
        <v>12</v>
      </c>
      <c r="B707" s="1" t="s">
        <v>161</v>
      </c>
      <c r="C707" s="4">
        <v>73</v>
      </c>
      <c r="D707" s="8">
        <v>1.78</v>
      </c>
      <c r="E707" s="4">
        <v>10</v>
      </c>
      <c r="F707" s="8">
        <v>0.66</v>
      </c>
      <c r="G707" s="4">
        <v>63</v>
      </c>
      <c r="H707" s="8">
        <v>2.4500000000000002</v>
      </c>
      <c r="I707" s="4">
        <v>0</v>
      </c>
    </row>
    <row r="708" spans="1:9" x14ac:dyDescent="0.2">
      <c r="A708" s="2">
        <v>13</v>
      </c>
      <c r="B708" s="1" t="s">
        <v>170</v>
      </c>
      <c r="C708" s="4">
        <v>70</v>
      </c>
      <c r="D708" s="8">
        <v>1.71</v>
      </c>
      <c r="E708" s="4">
        <v>61</v>
      </c>
      <c r="F708" s="8">
        <v>4.03</v>
      </c>
      <c r="G708" s="4">
        <v>9</v>
      </c>
      <c r="H708" s="8">
        <v>0.35</v>
      </c>
      <c r="I708" s="4">
        <v>0</v>
      </c>
    </row>
    <row r="709" spans="1:9" x14ac:dyDescent="0.2">
      <c r="A709" s="2">
        <v>14</v>
      </c>
      <c r="B709" s="1" t="s">
        <v>160</v>
      </c>
      <c r="C709" s="4">
        <v>68</v>
      </c>
      <c r="D709" s="8">
        <v>1.66</v>
      </c>
      <c r="E709" s="4">
        <v>4</v>
      </c>
      <c r="F709" s="8">
        <v>0.26</v>
      </c>
      <c r="G709" s="4">
        <v>64</v>
      </c>
      <c r="H709" s="8">
        <v>2.48</v>
      </c>
      <c r="I709" s="4">
        <v>0</v>
      </c>
    </row>
    <row r="710" spans="1:9" x14ac:dyDescent="0.2">
      <c r="A710" s="2">
        <v>15</v>
      </c>
      <c r="B710" s="1" t="s">
        <v>197</v>
      </c>
      <c r="C710" s="4">
        <v>67</v>
      </c>
      <c r="D710" s="8">
        <v>1.63</v>
      </c>
      <c r="E710" s="4">
        <v>31</v>
      </c>
      <c r="F710" s="8">
        <v>2.0499999999999998</v>
      </c>
      <c r="G710" s="4">
        <v>36</v>
      </c>
      <c r="H710" s="8">
        <v>1.4</v>
      </c>
      <c r="I710" s="4">
        <v>0</v>
      </c>
    </row>
    <row r="711" spans="1:9" x14ac:dyDescent="0.2">
      <c r="A711" s="2">
        <v>16</v>
      </c>
      <c r="B711" s="1" t="s">
        <v>157</v>
      </c>
      <c r="C711" s="4">
        <v>64</v>
      </c>
      <c r="D711" s="8">
        <v>1.56</v>
      </c>
      <c r="E711" s="4">
        <v>3</v>
      </c>
      <c r="F711" s="8">
        <v>0.2</v>
      </c>
      <c r="G711" s="4">
        <v>61</v>
      </c>
      <c r="H711" s="8">
        <v>2.37</v>
      </c>
      <c r="I711" s="4">
        <v>0</v>
      </c>
    </row>
    <row r="712" spans="1:9" x14ac:dyDescent="0.2">
      <c r="A712" s="2">
        <v>17</v>
      </c>
      <c r="B712" s="1" t="s">
        <v>200</v>
      </c>
      <c r="C712" s="4">
        <v>63</v>
      </c>
      <c r="D712" s="8">
        <v>1.54</v>
      </c>
      <c r="E712" s="4">
        <v>9</v>
      </c>
      <c r="F712" s="8">
        <v>0.59</v>
      </c>
      <c r="G712" s="4">
        <v>54</v>
      </c>
      <c r="H712" s="8">
        <v>2.1</v>
      </c>
      <c r="I712" s="4">
        <v>0</v>
      </c>
    </row>
    <row r="713" spans="1:9" x14ac:dyDescent="0.2">
      <c r="A713" s="2">
        <v>17</v>
      </c>
      <c r="B713" s="1" t="s">
        <v>174</v>
      </c>
      <c r="C713" s="4">
        <v>63</v>
      </c>
      <c r="D713" s="8">
        <v>1.54</v>
      </c>
      <c r="E713" s="4">
        <v>56</v>
      </c>
      <c r="F713" s="8">
        <v>3.7</v>
      </c>
      <c r="G713" s="4">
        <v>7</v>
      </c>
      <c r="H713" s="8">
        <v>0.27</v>
      </c>
      <c r="I713" s="4">
        <v>0</v>
      </c>
    </row>
    <row r="714" spans="1:9" x14ac:dyDescent="0.2">
      <c r="A714" s="2">
        <v>19</v>
      </c>
      <c r="B714" s="1" t="s">
        <v>195</v>
      </c>
      <c r="C714" s="4">
        <v>61</v>
      </c>
      <c r="D714" s="8">
        <v>1.49</v>
      </c>
      <c r="E714" s="4">
        <v>9</v>
      </c>
      <c r="F714" s="8">
        <v>0.59</v>
      </c>
      <c r="G714" s="4">
        <v>52</v>
      </c>
      <c r="H714" s="8">
        <v>2.02</v>
      </c>
      <c r="I714" s="4">
        <v>0</v>
      </c>
    </row>
    <row r="715" spans="1:9" x14ac:dyDescent="0.2">
      <c r="A715" s="2">
        <v>19</v>
      </c>
      <c r="B715" s="1" t="s">
        <v>208</v>
      </c>
      <c r="C715" s="4">
        <v>61</v>
      </c>
      <c r="D715" s="8">
        <v>1.49</v>
      </c>
      <c r="E715" s="4">
        <v>9</v>
      </c>
      <c r="F715" s="8">
        <v>0.59</v>
      </c>
      <c r="G715" s="4">
        <v>52</v>
      </c>
      <c r="H715" s="8">
        <v>2.02</v>
      </c>
      <c r="I715" s="4">
        <v>0</v>
      </c>
    </row>
    <row r="716" spans="1:9" x14ac:dyDescent="0.2">
      <c r="A716" s="1"/>
      <c r="C716" s="4"/>
      <c r="D716" s="8"/>
      <c r="E716" s="4"/>
      <c r="F716" s="8"/>
      <c r="G716" s="4"/>
      <c r="H716" s="8"/>
      <c r="I716" s="4"/>
    </row>
    <row r="717" spans="1:9" x14ac:dyDescent="0.2">
      <c r="A717" s="1" t="s">
        <v>32</v>
      </c>
      <c r="C717" s="4"/>
      <c r="D717" s="8"/>
      <c r="E717" s="4"/>
      <c r="F717" s="8"/>
      <c r="G717" s="4"/>
      <c r="H717" s="8"/>
      <c r="I717" s="4"/>
    </row>
    <row r="718" spans="1:9" x14ac:dyDescent="0.2">
      <c r="A718" s="2">
        <v>1</v>
      </c>
      <c r="B718" s="1" t="s">
        <v>162</v>
      </c>
      <c r="C718" s="4">
        <v>96</v>
      </c>
      <c r="D718" s="8">
        <v>5.23</v>
      </c>
      <c r="E718" s="4">
        <v>38</v>
      </c>
      <c r="F718" s="8">
        <v>4.87</v>
      </c>
      <c r="G718" s="4">
        <v>58</v>
      </c>
      <c r="H718" s="8">
        <v>5.53</v>
      </c>
      <c r="I718" s="4">
        <v>0</v>
      </c>
    </row>
    <row r="719" spans="1:9" x14ac:dyDescent="0.2">
      <c r="A719" s="2">
        <v>2</v>
      </c>
      <c r="B719" s="1" t="s">
        <v>172</v>
      </c>
      <c r="C719" s="4">
        <v>78</v>
      </c>
      <c r="D719" s="8">
        <v>4.25</v>
      </c>
      <c r="E719" s="4">
        <v>66</v>
      </c>
      <c r="F719" s="8">
        <v>8.4600000000000009</v>
      </c>
      <c r="G719" s="4">
        <v>12</v>
      </c>
      <c r="H719" s="8">
        <v>1.1399999999999999</v>
      </c>
      <c r="I719" s="4">
        <v>0</v>
      </c>
    </row>
    <row r="720" spans="1:9" x14ac:dyDescent="0.2">
      <c r="A720" s="2">
        <v>3</v>
      </c>
      <c r="B720" s="1" t="s">
        <v>168</v>
      </c>
      <c r="C720" s="4">
        <v>65</v>
      </c>
      <c r="D720" s="8">
        <v>3.54</v>
      </c>
      <c r="E720" s="4">
        <v>55</v>
      </c>
      <c r="F720" s="8">
        <v>7.05</v>
      </c>
      <c r="G720" s="4">
        <v>10</v>
      </c>
      <c r="H720" s="8">
        <v>0.95</v>
      </c>
      <c r="I720" s="4">
        <v>0</v>
      </c>
    </row>
    <row r="721" spans="1:9" x14ac:dyDescent="0.2">
      <c r="A721" s="2">
        <v>4</v>
      </c>
      <c r="B721" s="1" t="s">
        <v>169</v>
      </c>
      <c r="C721" s="4">
        <v>61</v>
      </c>
      <c r="D721" s="8">
        <v>3.33</v>
      </c>
      <c r="E721" s="4">
        <v>54</v>
      </c>
      <c r="F721" s="8">
        <v>6.92</v>
      </c>
      <c r="G721" s="4">
        <v>7</v>
      </c>
      <c r="H721" s="8">
        <v>0.67</v>
      </c>
      <c r="I721" s="4">
        <v>0</v>
      </c>
    </row>
    <row r="722" spans="1:9" x14ac:dyDescent="0.2">
      <c r="A722" s="2">
        <v>5</v>
      </c>
      <c r="B722" s="1" t="s">
        <v>175</v>
      </c>
      <c r="C722" s="4">
        <v>59</v>
      </c>
      <c r="D722" s="8">
        <v>3.22</v>
      </c>
      <c r="E722" s="4">
        <v>50</v>
      </c>
      <c r="F722" s="8">
        <v>6.41</v>
      </c>
      <c r="G722" s="4">
        <v>9</v>
      </c>
      <c r="H722" s="8">
        <v>0.86</v>
      </c>
      <c r="I722" s="4">
        <v>0</v>
      </c>
    </row>
    <row r="723" spans="1:9" x14ac:dyDescent="0.2">
      <c r="A723" s="2">
        <v>6</v>
      </c>
      <c r="B723" s="1" t="s">
        <v>171</v>
      </c>
      <c r="C723" s="4">
        <v>58</v>
      </c>
      <c r="D723" s="8">
        <v>3.16</v>
      </c>
      <c r="E723" s="4">
        <v>54</v>
      </c>
      <c r="F723" s="8">
        <v>6.92</v>
      </c>
      <c r="G723" s="4">
        <v>4</v>
      </c>
      <c r="H723" s="8">
        <v>0.38</v>
      </c>
      <c r="I723" s="4">
        <v>0</v>
      </c>
    </row>
    <row r="724" spans="1:9" x14ac:dyDescent="0.2">
      <c r="A724" s="2">
        <v>6</v>
      </c>
      <c r="B724" s="1" t="s">
        <v>173</v>
      </c>
      <c r="C724" s="4">
        <v>58</v>
      </c>
      <c r="D724" s="8">
        <v>3.16</v>
      </c>
      <c r="E724" s="4">
        <v>44</v>
      </c>
      <c r="F724" s="8">
        <v>5.64</v>
      </c>
      <c r="G724" s="4">
        <v>14</v>
      </c>
      <c r="H724" s="8">
        <v>1.33</v>
      </c>
      <c r="I724" s="4">
        <v>0</v>
      </c>
    </row>
    <row r="725" spans="1:9" x14ac:dyDescent="0.2">
      <c r="A725" s="2">
        <v>8</v>
      </c>
      <c r="B725" s="1" t="s">
        <v>170</v>
      </c>
      <c r="C725" s="4">
        <v>57</v>
      </c>
      <c r="D725" s="8">
        <v>3.11</v>
      </c>
      <c r="E725" s="4">
        <v>56</v>
      </c>
      <c r="F725" s="8">
        <v>7.18</v>
      </c>
      <c r="G725" s="4">
        <v>1</v>
      </c>
      <c r="H725" s="8">
        <v>0.1</v>
      </c>
      <c r="I725" s="4">
        <v>0</v>
      </c>
    </row>
    <row r="726" spans="1:9" x14ac:dyDescent="0.2">
      <c r="A726" s="2">
        <v>9</v>
      </c>
      <c r="B726" s="1" t="s">
        <v>163</v>
      </c>
      <c r="C726" s="4">
        <v>33</v>
      </c>
      <c r="D726" s="8">
        <v>1.8</v>
      </c>
      <c r="E726" s="4">
        <v>1</v>
      </c>
      <c r="F726" s="8">
        <v>0.13</v>
      </c>
      <c r="G726" s="4">
        <v>32</v>
      </c>
      <c r="H726" s="8">
        <v>3.05</v>
      </c>
      <c r="I726" s="4">
        <v>0</v>
      </c>
    </row>
    <row r="727" spans="1:9" x14ac:dyDescent="0.2">
      <c r="A727" s="2">
        <v>10</v>
      </c>
      <c r="B727" s="1" t="s">
        <v>161</v>
      </c>
      <c r="C727" s="4">
        <v>32</v>
      </c>
      <c r="D727" s="8">
        <v>1.74</v>
      </c>
      <c r="E727" s="4">
        <v>5</v>
      </c>
      <c r="F727" s="8">
        <v>0.64</v>
      </c>
      <c r="G727" s="4">
        <v>27</v>
      </c>
      <c r="H727" s="8">
        <v>2.57</v>
      </c>
      <c r="I727" s="4">
        <v>0</v>
      </c>
    </row>
    <row r="728" spans="1:9" x14ac:dyDescent="0.2">
      <c r="A728" s="2">
        <v>11</v>
      </c>
      <c r="B728" s="1" t="s">
        <v>206</v>
      </c>
      <c r="C728" s="4">
        <v>29</v>
      </c>
      <c r="D728" s="8">
        <v>1.58</v>
      </c>
      <c r="E728" s="4">
        <v>3</v>
      </c>
      <c r="F728" s="8">
        <v>0.38</v>
      </c>
      <c r="G728" s="4">
        <v>26</v>
      </c>
      <c r="H728" s="8">
        <v>2.48</v>
      </c>
      <c r="I728" s="4">
        <v>0</v>
      </c>
    </row>
    <row r="729" spans="1:9" x14ac:dyDescent="0.2">
      <c r="A729" s="2">
        <v>12</v>
      </c>
      <c r="B729" s="1" t="s">
        <v>158</v>
      </c>
      <c r="C729" s="4">
        <v>28</v>
      </c>
      <c r="D729" s="8">
        <v>1.53</v>
      </c>
      <c r="E729" s="4">
        <v>11</v>
      </c>
      <c r="F729" s="8">
        <v>1.41</v>
      </c>
      <c r="G729" s="4">
        <v>17</v>
      </c>
      <c r="H729" s="8">
        <v>1.62</v>
      </c>
      <c r="I729" s="4">
        <v>0</v>
      </c>
    </row>
    <row r="730" spans="1:9" x14ac:dyDescent="0.2">
      <c r="A730" s="2">
        <v>12</v>
      </c>
      <c r="B730" s="1" t="s">
        <v>160</v>
      </c>
      <c r="C730" s="4">
        <v>28</v>
      </c>
      <c r="D730" s="8">
        <v>1.53</v>
      </c>
      <c r="E730" s="4">
        <v>1</v>
      </c>
      <c r="F730" s="8">
        <v>0.13</v>
      </c>
      <c r="G730" s="4">
        <v>27</v>
      </c>
      <c r="H730" s="8">
        <v>2.57</v>
      </c>
      <c r="I730" s="4">
        <v>0</v>
      </c>
    </row>
    <row r="731" spans="1:9" x14ac:dyDescent="0.2">
      <c r="A731" s="2">
        <v>12</v>
      </c>
      <c r="B731" s="1" t="s">
        <v>197</v>
      </c>
      <c r="C731" s="4">
        <v>28</v>
      </c>
      <c r="D731" s="8">
        <v>1.53</v>
      </c>
      <c r="E731" s="4">
        <v>14</v>
      </c>
      <c r="F731" s="8">
        <v>1.79</v>
      </c>
      <c r="G731" s="4">
        <v>14</v>
      </c>
      <c r="H731" s="8">
        <v>1.33</v>
      </c>
      <c r="I731" s="4">
        <v>0</v>
      </c>
    </row>
    <row r="732" spans="1:9" x14ac:dyDescent="0.2">
      <c r="A732" s="2">
        <v>15</v>
      </c>
      <c r="B732" s="1" t="s">
        <v>192</v>
      </c>
      <c r="C732" s="4">
        <v>27</v>
      </c>
      <c r="D732" s="8">
        <v>1.47</v>
      </c>
      <c r="E732" s="4">
        <v>4</v>
      </c>
      <c r="F732" s="8">
        <v>0.51</v>
      </c>
      <c r="G732" s="4">
        <v>23</v>
      </c>
      <c r="H732" s="8">
        <v>2.19</v>
      </c>
      <c r="I732" s="4">
        <v>0</v>
      </c>
    </row>
    <row r="733" spans="1:9" x14ac:dyDescent="0.2">
      <c r="A733" s="2">
        <v>16</v>
      </c>
      <c r="B733" s="1" t="s">
        <v>221</v>
      </c>
      <c r="C733" s="4">
        <v>25</v>
      </c>
      <c r="D733" s="8">
        <v>1.36</v>
      </c>
      <c r="E733" s="4">
        <v>8</v>
      </c>
      <c r="F733" s="8">
        <v>1.03</v>
      </c>
      <c r="G733" s="4">
        <v>17</v>
      </c>
      <c r="H733" s="8">
        <v>1.62</v>
      </c>
      <c r="I733" s="4">
        <v>0</v>
      </c>
    </row>
    <row r="734" spans="1:9" x14ac:dyDescent="0.2">
      <c r="A734" s="2">
        <v>17</v>
      </c>
      <c r="B734" s="1" t="s">
        <v>159</v>
      </c>
      <c r="C734" s="4">
        <v>24</v>
      </c>
      <c r="D734" s="8">
        <v>1.31</v>
      </c>
      <c r="E734" s="4">
        <v>11</v>
      </c>
      <c r="F734" s="8">
        <v>1.41</v>
      </c>
      <c r="G734" s="4">
        <v>13</v>
      </c>
      <c r="H734" s="8">
        <v>1.24</v>
      </c>
      <c r="I734" s="4">
        <v>0</v>
      </c>
    </row>
    <row r="735" spans="1:9" x14ac:dyDescent="0.2">
      <c r="A735" s="2">
        <v>18</v>
      </c>
      <c r="B735" s="1" t="s">
        <v>195</v>
      </c>
      <c r="C735" s="4">
        <v>22</v>
      </c>
      <c r="D735" s="8">
        <v>1.2</v>
      </c>
      <c r="E735" s="4">
        <v>5</v>
      </c>
      <c r="F735" s="8">
        <v>0.64</v>
      </c>
      <c r="G735" s="4">
        <v>17</v>
      </c>
      <c r="H735" s="8">
        <v>1.62</v>
      </c>
      <c r="I735" s="4">
        <v>0</v>
      </c>
    </row>
    <row r="736" spans="1:9" x14ac:dyDescent="0.2">
      <c r="A736" s="2">
        <v>19</v>
      </c>
      <c r="B736" s="1" t="s">
        <v>208</v>
      </c>
      <c r="C736" s="4">
        <v>21</v>
      </c>
      <c r="D736" s="8">
        <v>1.1499999999999999</v>
      </c>
      <c r="E736" s="4">
        <v>2</v>
      </c>
      <c r="F736" s="8">
        <v>0.26</v>
      </c>
      <c r="G736" s="4">
        <v>19</v>
      </c>
      <c r="H736" s="8">
        <v>1.81</v>
      </c>
      <c r="I736" s="4">
        <v>0</v>
      </c>
    </row>
    <row r="737" spans="1:9" x14ac:dyDescent="0.2">
      <c r="A737" s="2">
        <v>20</v>
      </c>
      <c r="B737" s="1" t="s">
        <v>177</v>
      </c>
      <c r="C737" s="4">
        <v>20</v>
      </c>
      <c r="D737" s="8">
        <v>1.0900000000000001</v>
      </c>
      <c r="E737" s="4">
        <v>2</v>
      </c>
      <c r="F737" s="8">
        <v>0.26</v>
      </c>
      <c r="G737" s="4">
        <v>18</v>
      </c>
      <c r="H737" s="8">
        <v>1.72</v>
      </c>
      <c r="I737" s="4">
        <v>0</v>
      </c>
    </row>
    <row r="738" spans="1:9" x14ac:dyDescent="0.2">
      <c r="A738" s="2">
        <v>20</v>
      </c>
      <c r="B738" s="1" t="s">
        <v>198</v>
      </c>
      <c r="C738" s="4">
        <v>20</v>
      </c>
      <c r="D738" s="8">
        <v>1.0900000000000001</v>
      </c>
      <c r="E738" s="4">
        <v>8</v>
      </c>
      <c r="F738" s="8">
        <v>1.03</v>
      </c>
      <c r="G738" s="4">
        <v>12</v>
      </c>
      <c r="H738" s="8">
        <v>1.1399999999999999</v>
      </c>
      <c r="I738" s="4">
        <v>0</v>
      </c>
    </row>
    <row r="739" spans="1:9" x14ac:dyDescent="0.2">
      <c r="A739" s="2">
        <v>20</v>
      </c>
      <c r="B739" s="1" t="s">
        <v>174</v>
      </c>
      <c r="C739" s="4">
        <v>20</v>
      </c>
      <c r="D739" s="8">
        <v>1.0900000000000001</v>
      </c>
      <c r="E739" s="4">
        <v>19</v>
      </c>
      <c r="F739" s="8">
        <v>2.44</v>
      </c>
      <c r="G739" s="4">
        <v>1</v>
      </c>
      <c r="H739" s="8">
        <v>0.1</v>
      </c>
      <c r="I739" s="4">
        <v>0</v>
      </c>
    </row>
    <row r="740" spans="1:9" x14ac:dyDescent="0.2">
      <c r="A740" s="1"/>
      <c r="C740" s="4"/>
      <c r="D740" s="8"/>
      <c r="E740" s="4"/>
      <c r="F740" s="8"/>
      <c r="G740" s="4"/>
      <c r="H740" s="8"/>
      <c r="I740" s="4"/>
    </row>
    <row r="741" spans="1:9" x14ac:dyDescent="0.2">
      <c r="A741" s="1" t="s">
        <v>33</v>
      </c>
      <c r="C741" s="4"/>
      <c r="D741" s="8"/>
      <c r="E741" s="4"/>
      <c r="F741" s="8"/>
      <c r="G741" s="4"/>
      <c r="H741" s="8"/>
      <c r="I741" s="4"/>
    </row>
    <row r="742" spans="1:9" x14ac:dyDescent="0.2">
      <c r="A742" s="2">
        <v>1</v>
      </c>
      <c r="B742" s="1" t="s">
        <v>162</v>
      </c>
      <c r="C742" s="4">
        <v>232</v>
      </c>
      <c r="D742" s="8">
        <v>6.4</v>
      </c>
      <c r="E742" s="4">
        <v>32</v>
      </c>
      <c r="F742" s="8">
        <v>2.69</v>
      </c>
      <c r="G742" s="4">
        <v>200</v>
      </c>
      <c r="H742" s="8">
        <v>8.25</v>
      </c>
      <c r="I742" s="4">
        <v>0</v>
      </c>
    </row>
    <row r="743" spans="1:9" x14ac:dyDescent="0.2">
      <c r="A743" s="2">
        <v>2</v>
      </c>
      <c r="B743" s="1" t="s">
        <v>163</v>
      </c>
      <c r="C743" s="4">
        <v>135</v>
      </c>
      <c r="D743" s="8">
        <v>3.73</v>
      </c>
      <c r="E743" s="4">
        <v>1</v>
      </c>
      <c r="F743" s="8">
        <v>0.08</v>
      </c>
      <c r="G743" s="4">
        <v>134</v>
      </c>
      <c r="H743" s="8">
        <v>5.53</v>
      </c>
      <c r="I743" s="4">
        <v>0</v>
      </c>
    </row>
    <row r="744" spans="1:9" x14ac:dyDescent="0.2">
      <c r="A744" s="2">
        <v>2</v>
      </c>
      <c r="B744" s="1" t="s">
        <v>172</v>
      </c>
      <c r="C744" s="4">
        <v>135</v>
      </c>
      <c r="D744" s="8">
        <v>3.73</v>
      </c>
      <c r="E744" s="4">
        <v>87</v>
      </c>
      <c r="F744" s="8">
        <v>7.31</v>
      </c>
      <c r="G744" s="4">
        <v>48</v>
      </c>
      <c r="H744" s="8">
        <v>1.98</v>
      </c>
      <c r="I744" s="4">
        <v>0</v>
      </c>
    </row>
    <row r="745" spans="1:9" x14ac:dyDescent="0.2">
      <c r="A745" s="2">
        <v>4</v>
      </c>
      <c r="B745" s="1" t="s">
        <v>175</v>
      </c>
      <c r="C745" s="4">
        <v>110</v>
      </c>
      <c r="D745" s="8">
        <v>3.04</v>
      </c>
      <c r="E745" s="4">
        <v>79</v>
      </c>
      <c r="F745" s="8">
        <v>6.64</v>
      </c>
      <c r="G745" s="4">
        <v>31</v>
      </c>
      <c r="H745" s="8">
        <v>1.28</v>
      </c>
      <c r="I745" s="4">
        <v>0</v>
      </c>
    </row>
    <row r="746" spans="1:9" x14ac:dyDescent="0.2">
      <c r="A746" s="2">
        <v>5</v>
      </c>
      <c r="B746" s="1" t="s">
        <v>168</v>
      </c>
      <c r="C746" s="4">
        <v>106</v>
      </c>
      <c r="D746" s="8">
        <v>2.93</v>
      </c>
      <c r="E746" s="4">
        <v>78</v>
      </c>
      <c r="F746" s="8">
        <v>6.55</v>
      </c>
      <c r="G746" s="4">
        <v>28</v>
      </c>
      <c r="H746" s="8">
        <v>1.1499999999999999</v>
      </c>
      <c r="I746" s="4">
        <v>0</v>
      </c>
    </row>
    <row r="747" spans="1:9" x14ac:dyDescent="0.2">
      <c r="A747" s="2">
        <v>6</v>
      </c>
      <c r="B747" s="1" t="s">
        <v>173</v>
      </c>
      <c r="C747" s="4">
        <v>103</v>
      </c>
      <c r="D747" s="8">
        <v>2.84</v>
      </c>
      <c r="E747" s="4">
        <v>62</v>
      </c>
      <c r="F747" s="8">
        <v>5.21</v>
      </c>
      <c r="G747" s="4">
        <v>41</v>
      </c>
      <c r="H747" s="8">
        <v>1.69</v>
      </c>
      <c r="I747" s="4">
        <v>0</v>
      </c>
    </row>
    <row r="748" spans="1:9" x14ac:dyDescent="0.2">
      <c r="A748" s="2">
        <v>7</v>
      </c>
      <c r="B748" s="1" t="s">
        <v>169</v>
      </c>
      <c r="C748" s="4">
        <v>83</v>
      </c>
      <c r="D748" s="8">
        <v>2.29</v>
      </c>
      <c r="E748" s="4">
        <v>63</v>
      </c>
      <c r="F748" s="8">
        <v>5.29</v>
      </c>
      <c r="G748" s="4">
        <v>20</v>
      </c>
      <c r="H748" s="8">
        <v>0.82</v>
      </c>
      <c r="I748" s="4">
        <v>0</v>
      </c>
    </row>
    <row r="749" spans="1:9" x14ac:dyDescent="0.2">
      <c r="A749" s="2">
        <v>8</v>
      </c>
      <c r="B749" s="1" t="s">
        <v>171</v>
      </c>
      <c r="C749" s="4">
        <v>74</v>
      </c>
      <c r="D749" s="8">
        <v>2.04</v>
      </c>
      <c r="E749" s="4">
        <v>67</v>
      </c>
      <c r="F749" s="8">
        <v>5.63</v>
      </c>
      <c r="G749" s="4">
        <v>7</v>
      </c>
      <c r="H749" s="8">
        <v>0.28999999999999998</v>
      </c>
      <c r="I749" s="4">
        <v>0</v>
      </c>
    </row>
    <row r="750" spans="1:9" x14ac:dyDescent="0.2">
      <c r="A750" s="2">
        <v>9</v>
      </c>
      <c r="B750" s="1" t="s">
        <v>197</v>
      </c>
      <c r="C750" s="4">
        <v>70</v>
      </c>
      <c r="D750" s="8">
        <v>1.93</v>
      </c>
      <c r="E750" s="4">
        <v>29</v>
      </c>
      <c r="F750" s="8">
        <v>2.44</v>
      </c>
      <c r="G750" s="4">
        <v>41</v>
      </c>
      <c r="H750" s="8">
        <v>1.69</v>
      </c>
      <c r="I750" s="4">
        <v>0</v>
      </c>
    </row>
    <row r="751" spans="1:9" x14ac:dyDescent="0.2">
      <c r="A751" s="2">
        <v>10</v>
      </c>
      <c r="B751" s="1" t="s">
        <v>160</v>
      </c>
      <c r="C751" s="4">
        <v>69</v>
      </c>
      <c r="D751" s="8">
        <v>1.9</v>
      </c>
      <c r="E751" s="4">
        <v>4</v>
      </c>
      <c r="F751" s="8">
        <v>0.34</v>
      </c>
      <c r="G751" s="4">
        <v>65</v>
      </c>
      <c r="H751" s="8">
        <v>2.68</v>
      </c>
      <c r="I751" s="4">
        <v>0</v>
      </c>
    </row>
    <row r="752" spans="1:9" x14ac:dyDescent="0.2">
      <c r="A752" s="2">
        <v>11</v>
      </c>
      <c r="B752" s="1" t="s">
        <v>159</v>
      </c>
      <c r="C752" s="4">
        <v>65</v>
      </c>
      <c r="D752" s="8">
        <v>1.79</v>
      </c>
      <c r="E752" s="4">
        <v>37</v>
      </c>
      <c r="F752" s="8">
        <v>3.11</v>
      </c>
      <c r="G752" s="4">
        <v>28</v>
      </c>
      <c r="H752" s="8">
        <v>1.1499999999999999</v>
      </c>
      <c r="I752" s="4">
        <v>0</v>
      </c>
    </row>
    <row r="753" spans="1:9" x14ac:dyDescent="0.2">
      <c r="A753" s="2">
        <v>12</v>
      </c>
      <c r="B753" s="1" t="s">
        <v>170</v>
      </c>
      <c r="C753" s="4">
        <v>64</v>
      </c>
      <c r="D753" s="8">
        <v>1.77</v>
      </c>
      <c r="E753" s="4">
        <v>58</v>
      </c>
      <c r="F753" s="8">
        <v>4.87</v>
      </c>
      <c r="G753" s="4">
        <v>6</v>
      </c>
      <c r="H753" s="8">
        <v>0.25</v>
      </c>
      <c r="I753" s="4">
        <v>0</v>
      </c>
    </row>
    <row r="754" spans="1:9" x14ac:dyDescent="0.2">
      <c r="A754" s="2">
        <v>13</v>
      </c>
      <c r="B754" s="1" t="s">
        <v>166</v>
      </c>
      <c r="C754" s="4">
        <v>63</v>
      </c>
      <c r="D754" s="8">
        <v>1.74</v>
      </c>
      <c r="E754" s="4">
        <v>3</v>
      </c>
      <c r="F754" s="8">
        <v>0.25</v>
      </c>
      <c r="G754" s="4">
        <v>60</v>
      </c>
      <c r="H754" s="8">
        <v>2.4700000000000002</v>
      </c>
      <c r="I754" s="4">
        <v>0</v>
      </c>
    </row>
    <row r="755" spans="1:9" x14ac:dyDescent="0.2">
      <c r="A755" s="2">
        <v>14</v>
      </c>
      <c r="B755" s="1" t="s">
        <v>200</v>
      </c>
      <c r="C755" s="4">
        <v>60</v>
      </c>
      <c r="D755" s="8">
        <v>1.66</v>
      </c>
      <c r="E755" s="4">
        <v>8</v>
      </c>
      <c r="F755" s="8">
        <v>0.67</v>
      </c>
      <c r="G755" s="4">
        <v>52</v>
      </c>
      <c r="H755" s="8">
        <v>2.14</v>
      </c>
      <c r="I755" s="4">
        <v>0</v>
      </c>
    </row>
    <row r="756" spans="1:9" x14ac:dyDescent="0.2">
      <c r="A756" s="2">
        <v>15</v>
      </c>
      <c r="B756" s="1" t="s">
        <v>157</v>
      </c>
      <c r="C756" s="4">
        <v>56</v>
      </c>
      <c r="D756" s="8">
        <v>1.55</v>
      </c>
      <c r="E756" s="4">
        <v>4</v>
      </c>
      <c r="F756" s="8">
        <v>0.34</v>
      </c>
      <c r="G756" s="4">
        <v>52</v>
      </c>
      <c r="H756" s="8">
        <v>2.14</v>
      </c>
      <c r="I756" s="4">
        <v>0</v>
      </c>
    </row>
    <row r="757" spans="1:9" x14ac:dyDescent="0.2">
      <c r="A757" s="2">
        <v>16</v>
      </c>
      <c r="B757" s="1" t="s">
        <v>167</v>
      </c>
      <c r="C757" s="4">
        <v>54</v>
      </c>
      <c r="D757" s="8">
        <v>1.49</v>
      </c>
      <c r="E757" s="4">
        <v>11</v>
      </c>
      <c r="F757" s="8">
        <v>0.92</v>
      </c>
      <c r="G757" s="4">
        <v>43</v>
      </c>
      <c r="H757" s="8">
        <v>1.77</v>
      </c>
      <c r="I757" s="4">
        <v>0</v>
      </c>
    </row>
    <row r="758" spans="1:9" x14ac:dyDescent="0.2">
      <c r="A758" s="2">
        <v>17</v>
      </c>
      <c r="B758" s="1" t="s">
        <v>161</v>
      </c>
      <c r="C758" s="4">
        <v>52</v>
      </c>
      <c r="D758" s="8">
        <v>1.44</v>
      </c>
      <c r="E758" s="4">
        <v>3</v>
      </c>
      <c r="F758" s="8">
        <v>0.25</v>
      </c>
      <c r="G758" s="4">
        <v>49</v>
      </c>
      <c r="H758" s="8">
        <v>2.02</v>
      </c>
      <c r="I758" s="4">
        <v>0</v>
      </c>
    </row>
    <row r="759" spans="1:9" x14ac:dyDescent="0.2">
      <c r="A759" s="2">
        <v>18</v>
      </c>
      <c r="B759" s="1" t="s">
        <v>192</v>
      </c>
      <c r="C759" s="4">
        <v>51</v>
      </c>
      <c r="D759" s="8">
        <v>1.41</v>
      </c>
      <c r="E759" s="4">
        <v>9</v>
      </c>
      <c r="F759" s="8">
        <v>0.76</v>
      </c>
      <c r="G759" s="4">
        <v>42</v>
      </c>
      <c r="H759" s="8">
        <v>1.73</v>
      </c>
      <c r="I759" s="4">
        <v>0</v>
      </c>
    </row>
    <row r="760" spans="1:9" x14ac:dyDescent="0.2">
      <c r="A760" s="2">
        <v>18</v>
      </c>
      <c r="B760" s="1" t="s">
        <v>165</v>
      </c>
      <c r="C760" s="4">
        <v>51</v>
      </c>
      <c r="D760" s="8">
        <v>1.41</v>
      </c>
      <c r="E760" s="4">
        <v>2</v>
      </c>
      <c r="F760" s="8">
        <v>0.17</v>
      </c>
      <c r="G760" s="4">
        <v>48</v>
      </c>
      <c r="H760" s="8">
        <v>1.98</v>
      </c>
      <c r="I760" s="4">
        <v>1</v>
      </c>
    </row>
    <row r="761" spans="1:9" x14ac:dyDescent="0.2">
      <c r="A761" s="2">
        <v>20</v>
      </c>
      <c r="B761" s="1" t="s">
        <v>201</v>
      </c>
      <c r="C761" s="4">
        <v>50</v>
      </c>
      <c r="D761" s="8">
        <v>1.38</v>
      </c>
      <c r="E761" s="4">
        <v>4</v>
      </c>
      <c r="F761" s="8">
        <v>0.34</v>
      </c>
      <c r="G761" s="4">
        <v>46</v>
      </c>
      <c r="H761" s="8">
        <v>1.9</v>
      </c>
      <c r="I761" s="4">
        <v>0</v>
      </c>
    </row>
    <row r="762" spans="1:9" x14ac:dyDescent="0.2">
      <c r="A762" s="2">
        <v>20</v>
      </c>
      <c r="B762" s="1" t="s">
        <v>174</v>
      </c>
      <c r="C762" s="4">
        <v>50</v>
      </c>
      <c r="D762" s="8">
        <v>1.38</v>
      </c>
      <c r="E762" s="4">
        <v>45</v>
      </c>
      <c r="F762" s="8">
        <v>3.78</v>
      </c>
      <c r="G762" s="4">
        <v>5</v>
      </c>
      <c r="H762" s="8">
        <v>0.21</v>
      </c>
      <c r="I762" s="4">
        <v>0</v>
      </c>
    </row>
    <row r="763" spans="1:9" x14ac:dyDescent="0.2">
      <c r="A763" s="1"/>
      <c r="C763" s="4"/>
      <c r="D763" s="8"/>
      <c r="E763" s="4"/>
      <c r="F763" s="8"/>
      <c r="G763" s="4"/>
      <c r="H763" s="8"/>
      <c r="I763" s="4"/>
    </row>
    <row r="764" spans="1:9" x14ac:dyDescent="0.2">
      <c r="A764" s="1" t="s">
        <v>34</v>
      </c>
      <c r="C764" s="4"/>
      <c r="D764" s="8"/>
      <c r="E764" s="4"/>
      <c r="F764" s="8"/>
      <c r="G764" s="4"/>
      <c r="H764" s="8"/>
      <c r="I764" s="4"/>
    </row>
    <row r="765" spans="1:9" x14ac:dyDescent="0.2">
      <c r="A765" s="2">
        <v>1</v>
      </c>
      <c r="B765" s="1" t="s">
        <v>162</v>
      </c>
      <c r="C765" s="4">
        <v>331</v>
      </c>
      <c r="D765" s="8">
        <v>5.27</v>
      </c>
      <c r="E765" s="4">
        <v>97</v>
      </c>
      <c r="F765" s="8">
        <v>4.51</v>
      </c>
      <c r="G765" s="4">
        <v>234</v>
      </c>
      <c r="H765" s="8">
        <v>5.69</v>
      </c>
      <c r="I765" s="4">
        <v>0</v>
      </c>
    </row>
    <row r="766" spans="1:9" x14ac:dyDescent="0.2">
      <c r="A766" s="2">
        <v>2</v>
      </c>
      <c r="B766" s="1" t="s">
        <v>172</v>
      </c>
      <c r="C766" s="4">
        <v>250</v>
      </c>
      <c r="D766" s="8">
        <v>3.98</v>
      </c>
      <c r="E766" s="4">
        <v>194</v>
      </c>
      <c r="F766" s="8">
        <v>9.02</v>
      </c>
      <c r="G766" s="4">
        <v>56</v>
      </c>
      <c r="H766" s="8">
        <v>1.36</v>
      </c>
      <c r="I766" s="4">
        <v>0</v>
      </c>
    </row>
    <row r="767" spans="1:9" x14ac:dyDescent="0.2">
      <c r="A767" s="2">
        <v>3</v>
      </c>
      <c r="B767" s="1" t="s">
        <v>173</v>
      </c>
      <c r="C767" s="4">
        <v>211</v>
      </c>
      <c r="D767" s="8">
        <v>3.36</v>
      </c>
      <c r="E767" s="4">
        <v>146</v>
      </c>
      <c r="F767" s="8">
        <v>6.79</v>
      </c>
      <c r="G767" s="4">
        <v>64</v>
      </c>
      <c r="H767" s="8">
        <v>1.56</v>
      </c>
      <c r="I767" s="4">
        <v>1</v>
      </c>
    </row>
    <row r="768" spans="1:9" x14ac:dyDescent="0.2">
      <c r="A768" s="2">
        <v>4</v>
      </c>
      <c r="B768" s="1" t="s">
        <v>175</v>
      </c>
      <c r="C768" s="4">
        <v>185</v>
      </c>
      <c r="D768" s="8">
        <v>2.95</v>
      </c>
      <c r="E768" s="4">
        <v>150</v>
      </c>
      <c r="F768" s="8">
        <v>6.97</v>
      </c>
      <c r="G768" s="4">
        <v>35</v>
      </c>
      <c r="H768" s="8">
        <v>0.85</v>
      </c>
      <c r="I768" s="4">
        <v>0</v>
      </c>
    </row>
    <row r="769" spans="1:9" x14ac:dyDescent="0.2">
      <c r="A769" s="2">
        <v>5</v>
      </c>
      <c r="B769" s="1" t="s">
        <v>163</v>
      </c>
      <c r="C769" s="4">
        <v>165</v>
      </c>
      <c r="D769" s="8">
        <v>2.63</v>
      </c>
      <c r="E769" s="4">
        <v>5</v>
      </c>
      <c r="F769" s="8">
        <v>0.23</v>
      </c>
      <c r="G769" s="4">
        <v>160</v>
      </c>
      <c r="H769" s="8">
        <v>3.89</v>
      </c>
      <c r="I769" s="4">
        <v>0</v>
      </c>
    </row>
    <row r="770" spans="1:9" x14ac:dyDescent="0.2">
      <c r="A770" s="2">
        <v>6</v>
      </c>
      <c r="B770" s="1" t="s">
        <v>171</v>
      </c>
      <c r="C770" s="4">
        <v>140</v>
      </c>
      <c r="D770" s="8">
        <v>2.23</v>
      </c>
      <c r="E770" s="4">
        <v>126</v>
      </c>
      <c r="F770" s="8">
        <v>5.86</v>
      </c>
      <c r="G770" s="4">
        <v>14</v>
      </c>
      <c r="H770" s="8">
        <v>0.34</v>
      </c>
      <c r="I770" s="4">
        <v>0</v>
      </c>
    </row>
    <row r="771" spans="1:9" x14ac:dyDescent="0.2">
      <c r="A771" s="2">
        <v>7</v>
      </c>
      <c r="B771" s="1" t="s">
        <v>168</v>
      </c>
      <c r="C771" s="4">
        <v>137</v>
      </c>
      <c r="D771" s="8">
        <v>2.1800000000000002</v>
      </c>
      <c r="E771" s="4">
        <v>92</v>
      </c>
      <c r="F771" s="8">
        <v>4.28</v>
      </c>
      <c r="G771" s="4">
        <v>45</v>
      </c>
      <c r="H771" s="8">
        <v>1.0900000000000001</v>
      </c>
      <c r="I771" s="4">
        <v>0</v>
      </c>
    </row>
    <row r="772" spans="1:9" x14ac:dyDescent="0.2">
      <c r="A772" s="2">
        <v>8</v>
      </c>
      <c r="B772" s="1" t="s">
        <v>167</v>
      </c>
      <c r="C772" s="4">
        <v>135</v>
      </c>
      <c r="D772" s="8">
        <v>2.15</v>
      </c>
      <c r="E772" s="4">
        <v>27</v>
      </c>
      <c r="F772" s="8">
        <v>1.26</v>
      </c>
      <c r="G772" s="4">
        <v>105</v>
      </c>
      <c r="H772" s="8">
        <v>2.5499999999999998</v>
      </c>
      <c r="I772" s="4">
        <v>2</v>
      </c>
    </row>
    <row r="773" spans="1:9" x14ac:dyDescent="0.2">
      <c r="A773" s="2">
        <v>9</v>
      </c>
      <c r="B773" s="1" t="s">
        <v>159</v>
      </c>
      <c r="C773" s="4">
        <v>134</v>
      </c>
      <c r="D773" s="8">
        <v>2.13</v>
      </c>
      <c r="E773" s="4">
        <v>57</v>
      </c>
      <c r="F773" s="8">
        <v>2.65</v>
      </c>
      <c r="G773" s="4">
        <v>77</v>
      </c>
      <c r="H773" s="8">
        <v>1.87</v>
      </c>
      <c r="I773" s="4">
        <v>0</v>
      </c>
    </row>
    <row r="774" spans="1:9" x14ac:dyDescent="0.2">
      <c r="A774" s="2">
        <v>10</v>
      </c>
      <c r="B774" s="1" t="s">
        <v>161</v>
      </c>
      <c r="C774" s="4">
        <v>130</v>
      </c>
      <c r="D774" s="8">
        <v>2.0699999999999998</v>
      </c>
      <c r="E774" s="4">
        <v>10</v>
      </c>
      <c r="F774" s="8">
        <v>0.46</v>
      </c>
      <c r="G774" s="4">
        <v>120</v>
      </c>
      <c r="H774" s="8">
        <v>2.92</v>
      </c>
      <c r="I774" s="4">
        <v>0</v>
      </c>
    </row>
    <row r="775" spans="1:9" x14ac:dyDescent="0.2">
      <c r="A775" s="2">
        <v>11</v>
      </c>
      <c r="B775" s="1" t="s">
        <v>200</v>
      </c>
      <c r="C775" s="4">
        <v>112</v>
      </c>
      <c r="D775" s="8">
        <v>1.78</v>
      </c>
      <c r="E775" s="4">
        <v>8</v>
      </c>
      <c r="F775" s="8">
        <v>0.37</v>
      </c>
      <c r="G775" s="4">
        <v>104</v>
      </c>
      <c r="H775" s="8">
        <v>2.5299999999999998</v>
      </c>
      <c r="I775" s="4">
        <v>0</v>
      </c>
    </row>
    <row r="776" spans="1:9" x14ac:dyDescent="0.2">
      <c r="A776" s="2">
        <v>12</v>
      </c>
      <c r="B776" s="1" t="s">
        <v>169</v>
      </c>
      <c r="C776" s="4">
        <v>108</v>
      </c>
      <c r="D776" s="8">
        <v>1.72</v>
      </c>
      <c r="E776" s="4">
        <v>89</v>
      </c>
      <c r="F776" s="8">
        <v>4.1399999999999997</v>
      </c>
      <c r="G776" s="4">
        <v>19</v>
      </c>
      <c r="H776" s="8">
        <v>0.46</v>
      </c>
      <c r="I776" s="4">
        <v>0</v>
      </c>
    </row>
    <row r="777" spans="1:9" x14ac:dyDescent="0.2">
      <c r="A777" s="2">
        <v>13</v>
      </c>
      <c r="B777" s="1" t="s">
        <v>160</v>
      </c>
      <c r="C777" s="4">
        <v>107</v>
      </c>
      <c r="D777" s="8">
        <v>1.7</v>
      </c>
      <c r="E777" s="4">
        <v>4</v>
      </c>
      <c r="F777" s="8">
        <v>0.19</v>
      </c>
      <c r="G777" s="4">
        <v>103</v>
      </c>
      <c r="H777" s="8">
        <v>2.5099999999999998</v>
      </c>
      <c r="I777" s="4">
        <v>0</v>
      </c>
    </row>
    <row r="778" spans="1:9" x14ac:dyDescent="0.2">
      <c r="A778" s="2">
        <v>14</v>
      </c>
      <c r="B778" s="1" t="s">
        <v>201</v>
      </c>
      <c r="C778" s="4">
        <v>106</v>
      </c>
      <c r="D778" s="8">
        <v>1.69</v>
      </c>
      <c r="E778" s="4">
        <v>9</v>
      </c>
      <c r="F778" s="8">
        <v>0.42</v>
      </c>
      <c r="G778" s="4">
        <v>97</v>
      </c>
      <c r="H778" s="8">
        <v>2.36</v>
      </c>
      <c r="I778" s="4">
        <v>0</v>
      </c>
    </row>
    <row r="779" spans="1:9" x14ac:dyDescent="0.2">
      <c r="A779" s="2">
        <v>15</v>
      </c>
      <c r="B779" s="1" t="s">
        <v>157</v>
      </c>
      <c r="C779" s="4">
        <v>102</v>
      </c>
      <c r="D779" s="8">
        <v>1.62</v>
      </c>
      <c r="E779" s="4">
        <v>2</v>
      </c>
      <c r="F779" s="8">
        <v>0.09</v>
      </c>
      <c r="G779" s="4">
        <v>100</v>
      </c>
      <c r="H779" s="8">
        <v>2.4300000000000002</v>
      </c>
      <c r="I779" s="4">
        <v>0</v>
      </c>
    </row>
    <row r="780" spans="1:9" x14ac:dyDescent="0.2">
      <c r="A780" s="2">
        <v>16</v>
      </c>
      <c r="B780" s="1" t="s">
        <v>220</v>
      </c>
      <c r="C780" s="4">
        <v>101</v>
      </c>
      <c r="D780" s="8">
        <v>1.61</v>
      </c>
      <c r="E780" s="4">
        <v>10</v>
      </c>
      <c r="F780" s="8">
        <v>0.46</v>
      </c>
      <c r="G780" s="4">
        <v>91</v>
      </c>
      <c r="H780" s="8">
        <v>2.21</v>
      </c>
      <c r="I780" s="4">
        <v>0</v>
      </c>
    </row>
    <row r="781" spans="1:9" x14ac:dyDescent="0.2">
      <c r="A781" s="2">
        <v>17</v>
      </c>
      <c r="B781" s="1" t="s">
        <v>221</v>
      </c>
      <c r="C781" s="4">
        <v>100</v>
      </c>
      <c r="D781" s="8">
        <v>1.59</v>
      </c>
      <c r="E781" s="4">
        <v>23</v>
      </c>
      <c r="F781" s="8">
        <v>1.07</v>
      </c>
      <c r="G781" s="4">
        <v>77</v>
      </c>
      <c r="H781" s="8">
        <v>1.87</v>
      </c>
      <c r="I781" s="4">
        <v>0</v>
      </c>
    </row>
    <row r="782" spans="1:9" x14ac:dyDescent="0.2">
      <c r="A782" s="2">
        <v>18</v>
      </c>
      <c r="B782" s="1" t="s">
        <v>225</v>
      </c>
      <c r="C782" s="4">
        <v>98</v>
      </c>
      <c r="D782" s="8">
        <v>1.56</v>
      </c>
      <c r="E782" s="4">
        <v>59</v>
      </c>
      <c r="F782" s="8">
        <v>2.74</v>
      </c>
      <c r="G782" s="4">
        <v>39</v>
      </c>
      <c r="H782" s="8">
        <v>0.95</v>
      </c>
      <c r="I782" s="4">
        <v>0</v>
      </c>
    </row>
    <row r="783" spans="1:9" x14ac:dyDescent="0.2">
      <c r="A783" s="2">
        <v>19</v>
      </c>
      <c r="B783" s="1" t="s">
        <v>170</v>
      </c>
      <c r="C783" s="4">
        <v>96</v>
      </c>
      <c r="D783" s="8">
        <v>1.53</v>
      </c>
      <c r="E783" s="4">
        <v>80</v>
      </c>
      <c r="F783" s="8">
        <v>3.72</v>
      </c>
      <c r="G783" s="4">
        <v>16</v>
      </c>
      <c r="H783" s="8">
        <v>0.39</v>
      </c>
      <c r="I783" s="4">
        <v>0</v>
      </c>
    </row>
    <row r="784" spans="1:9" x14ac:dyDescent="0.2">
      <c r="A784" s="2">
        <v>20</v>
      </c>
      <c r="B784" s="1" t="s">
        <v>192</v>
      </c>
      <c r="C784" s="4">
        <v>94</v>
      </c>
      <c r="D784" s="8">
        <v>1.5</v>
      </c>
      <c r="E784" s="4">
        <v>12</v>
      </c>
      <c r="F784" s="8">
        <v>0.56000000000000005</v>
      </c>
      <c r="G784" s="4">
        <v>82</v>
      </c>
      <c r="H784" s="8">
        <v>2</v>
      </c>
      <c r="I784" s="4">
        <v>0</v>
      </c>
    </row>
    <row r="785" spans="1:9" x14ac:dyDescent="0.2">
      <c r="A785" s="1"/>
      <c r="C785" s="4"/>
      <c r="D785" s="8"/>
      <c r="E785" s="4"/>
      <c r="F785" s="8"/>
      <c r="G785" s="4"/>
      <c r="H785" s="8"/>
      <c r="I785" s="4"/>
    </row>
    <row r="786" spans="1:9" x14ac:dyDescent="0.2">
      <c r="A786" s="1" t="s">
        <v>35</v>
      </c>
      <c r="C786" s="4"/>
      <c r="D786" s="8"/>
      <c r="E786" s="4"/>
      <c r="F786" s="8"/>
      <c r="G786" s="4"/>
      <c r="H786" s="8"/>
      <c r="I786" s="4"/>
    </row>
    <row r="787" spans="1:9" x14ac:dyDescent="0.2">
      <c r="A787" s="2">
        <v>1</v>
      </c>
      <c r="B787" s="1" t="s">
        <v>162</v>
      </c>
      <c r="C787" s="4">
        <v>142</v>
      </c>
      <c r="D787" s="8">
        <v>8.5299999999999994</v>
      </c>
      <c r="E787" s="4">
        <v>33</v>
      </c>
      <c r="F787" s="8">
        <v>5.19</v>
      </c>
      <c r="G787" s="4">
        <v>109</v>
      </c>
      <c r="H787" s="8">
        <v>10.68</v>
      </c>
      <c r="I787" s="4">
        <v>0</v>
      </c>
    </row>
    <row r="788" spans="1:9" x14ac:dyDescent="0.2">
      <c r="A788" s="2">
        <v>2</v>
      </c>
      <c r="B788" s="1" t="s">
        <v>175</v>
      </c>
      <c r="C788" s="4">
        <v>68</v>
      </c>
      <c r="D788" s="8">
        <v>4.08</v>
      </c>
      <c r="E788" s="4">
        <v>61</v>
      </c>
      <c r="F788" s="8">
        <v>9.59</v>
      </c>
      <c r="G788" s="4">
        <v>7</v>
      </c>
      <c r="H788" s="8">
        <v>0.69</v>
      </c>
      <c r="I788" s="4">
        <v>0</v>
      </c>
    </row>
    <row r="789" spans="1:9" x14ac:dyDescent="0.2">
      <c r="A789" s="2">
        <v>3</v>
      </c>
      <c r="B789" s="1" t="s">
        <v>172</v>
      </c>
      <c r="C789" s="4">
        <v>66</v>
      </c>
      <c r="D789" s="8">
        <v>3.96</v>
      </c>
      <c r="E789" s="4">
        <v>49</v>
      </c>
      <c r="F789" s="8">
        <v>7.7</v>
      </c>
      <c r="G789" s="4">
        <v>17</v>
      </c>
      <c r="H789" s="8">
        <v>1.67</v>
      </c>
      <c r="I789" s="4">
        <v>0</v>
      </c>
    </row>
    <row r="790" spans="1:9" x14ac:dyDescent="0.2">
      <c r="A790" s="2">
        <v>4</v>
      </c>
      <c r="B790" s="1" t="s">
        <v>163</v>
      </c>
      <c r="C790" s="4">
        <v>51</v>
      </c>
      <c r="D790" s="8">
        <v>3.06</v>
      </c>
      <c r="E790" s="4">
        <v>2</v>
      </c>
      <c r="F790" s="8">
        <v>0.31</v>
      </c>
      <c r="G790" s="4">
        <v>49</v>
      </c>
      <c r="H790" s="8">
        <v>4.8</v>
      </c>
      <c r="I790" s="4">
        <v>0</v>
      </c>
    </row>
    <row r="791" spans="1:9" x14ac:dyDescent="0.2">
      <c r="A791" s="2">
        <v>5</v>
      </c>
      <c r="B791" s="1" t="s">
        <v>168</v>
      </c>
      <c r="C791" s="4">
        <v>49</v>
      </c>
      <c r="D791" s="8">
        <v>2.94</v>
      </c>
      <c r="E791" s="4">
        <v>33</v>
      </c>
      <c r="F791" s="8">
        <v>5.19</v>
      </c>
      <c r="G791" s="4">
        <v>16</v>
      </c>
      <c r="H791" s="8">
        <v>1.57</v>
      </c>
      <c r="I791" s="4">
        <v>0</v>
      </c>
    </row>
    <row r="792" spans="1:9" x14ac:dyDescent="0.2">
      <c r="A792" s="2">
        <v>6</v>
      </c>
      <c r="B792" s="1" t="s">
        <v>173</v>
      </c>
      <c r="C792" s="4">
        <v>48</v>
      </c>
      <c r="D792" s="8">
        <v>2.88</v>
      </c>
      <c r="E792" s="4">
        <v>32</v>
      </c>
      <c r="F792" s="8">
        <v>5.03</v>
      </c>
      <c r="G792" s="4">
        <v>16</v>
      </c>
      <c r="H792" s="8">
        <v>1.57</v>
      </c>
      <c r="I792" s="4">
        <v>0</v>
      </c>
    </row>
    <row r="793" spans="1:9" x14ac:dyDescent="0.2">
      <c r="A793" s="2">
        <v>7</v>
      </c>
      <c r="B793" s="1" t="s">
        <v>169</v>
      </c>
      <c r="C793" s="4">
        <v>45</v>
      </c>
      <c r="D793" s="8">
        <v>2.7</v>
      </c>
      <c r="E793" s="4">
        <v>38</v>
      </c>
      <c r="F793" s="8">
        <v>5.97</v>
      </c>
      <c r="G793" s="4">
        <v>7</v>
      </c>
      <c r="H793" s="8">
        <v>0.69</v>
      </c>
      <c r="I793" s="4">
        <v>0</v>
      </c>
    </row>
    <row r="794" spans="1:9" x14ac:dyDescent="0.2">
      <c r="A794" s="2">
        <v>8</v>
      </c>
      <c r="B794" s="1" t="s">
        <v>160</v>
      </c>
      <c r="C794" s="4">
        <v>39</v>
      </c>
      <c r="D794" s="8">
        <v>2.34</v>
      </c>
      <c r="E794" s="4">
        <v>0</v>
      </c>
      <c r="F794" s="8">
        <v>0</v>
      </c>
      <c r="G794" s="4">
        <v>39</v>
      </c>
      <c r="H794" s="8">
        <v>3.82</v>
      </c>
      <c r="I794" s="4">
        <v>0</v>
      </c>
    </row>
    <row r="795" spans="1:9" x14ac:dyDescent="0.2">
      <c r="A795" s="2">
        <v>9</v>
      </c>
      <c r="B795" s="1" t="s">
        <v>159</v>
      </c>
      <c r="C795" s="4">
        <v>38</v>
      </c>
      <c r="D795" s="8">
        <v>2.2799999999999998</v>
      </c>
      <c r="E795" s="4">
        <v>17</v>
      </c>
      <c r="F795" s="8">
        <v>2.67</v>
      </c>
      <c r="G795" s="4">
        <v>21</v>
      </c>
      <c r="H795" s="8">
        <v>2.06</v>
      </c>
      <c r="I795" s="4">
        <v>0</v>
      </c>
    </row>
    <row r="796" spans="1:9" x14ac:dyDescent="0.2">
      <c r="A796" s="2">
        <v>9</v>
      </c>
      <c r="B796" s="1" t="s">
        <v>171</v>
      </c>
      <c r="C796" s="4">
        <v>38</v>
      </c>
      <c r="D796" s="8">
        <v>2.2799999999999998</v>
      </c>
      <c r="E796" s="4">
        <v>37</v>
      </c>
      <c r="F796" s="8">
        <v>5.82</v>
      </c>
      <c r="G796" s="4">
        <v>1</v>
      </c>
      <c r="H796" s="8">
        <v>0.1</v>
      </c>
      <c r="I796" s="4">
        <v>0</v>
      </c>
    </row>
    <row r="797" spans="1:9" x14ac:dyDescent="0.2">
      <c r="A797" s="2">
        <v>11</v>
      </c>
      <c r="B797" s="1" t="s">
        <v>197</v>
      </c>
      <c r="C797" s="4">
        <v>35</v>
      </c>
      <c r="D797" s="8">
        <v>2.1</v>
      </c>
      <c r="E797" s="4">
        <v>13</v>
      </c>
      <c r="F797" s="8">
        <v>2.04</v>
      </c>
      <c r="G797" s="4">
        <v>22</v>
      </c>
      <c r="H797" s="8">
        <v>2.15</v>
      </c>
      <c r="I797" s="4">
        <v>0</v>
      </c>
    </row>
    <row r="798" spans="1:9" x14ac:dyDescent="0.2">
      <c r="A798" s="2">
        <v>12</v>
      </c>
      <c r="B798" s="1" t="s">
        <v>161</v>
      </c>
      <c r="C798" s="4">
        <v>30</v>
      </c>
      <c r="D798" s="8">
        <v>1.8</v>
      </c>
      <c r="E798" s="4">
        <v>4</v>
      </c>
      <c r="F798" s="8">
        <v>0.63</v>
      </c>
      <c r="G798" s="4">
        <v>26</v>
      </c>
      <c r="H798" s="8">
        <v>2.5499999999999998</v>
      </c>
      <c r="I798" s="4">
        <v>0</v>
      </c>
    </row>
    <row r="799" spans="1:9" x14ac:dyDescent="0.2">
      <c r="A799" s="2">
        <v>13</v>
      </c>
      <c r="B799" s="1" t="s">
        <v>205</v>
      </c>
      <c r="C799" s="4">
        <v>27</v>
      </c>
      <c r="D799" s="8">
        <v>1.62</v>
      </c>
      <c r="E799" s="4">
        <v>22</v>
      </c>
      <c r="F799" s="8">
        <v>3.46</v>
      </c>
      <c r="G799" s="4">
        <v>5</v>
      </c>
      <c r="H799" s="8">
        <v>0.49</v>
      </c>
      <c r="I799" s="4">
        <v>0</v>
      </c>
    </row>
    <row r="800" spans="1:9" x14ac:dyDescent="0.2">
      <c r="A800" s="2">
        <v>14</v>
      </c>
      <c r="B800" s="1" t="s">
        <v>167</v>
      </c>
      <c r="C800" s="4">
        <v>26</v>
      </c>
      <c r="D800" s="8">
        <v>1.56</v>
      </c>
      <c r="E800" s="4">
        <v>7</v>
      </c>
      <c r="F800" s="8">
        <v>1.1000000000000001</v>
      </c>
      <c r="G800" s="4">
        <v>19</v>
      </c>
      <c r="H800" s="8">
        <v>1.86</v>
      </c>
      <c r="I800" s="4">
        <v>0</v>
      </c>
    </row>
    <row r="801" spans="1:9" x14ac:dyDescent="0.2">
      <c r="A801" s="2">
        <v>15</v>
      </c>
      <c r="B801" s="1" t="s">
        <v>198</v>
      </c>
      <c r="C801" s="4">
        <v>25</v>
      </c>
      <c r="D801" s="8">
        <v>1.5</v>
      </c>
      <c r="E801" s="4">
        <v>5</v>
      </c>
      <c r="F801" s="8">
        <v>0.79</v>
      </c>
      <c r="G801" s="4">
        <v>20</v>
      </c>
      <c r="H801" s="8">
        <v>1.96</v>
      </c>
      <c r="I801" s="4">
        <v>0</v>
      </c>
    </row>
    <row r="802" spans="1:9" x14ac:dyDescent="0.2">
      <c r="A802" s="2">
        <v>15</v>
      </c>
      <c r="B802" s="1" t="s">
        <v>165</v>
      </c>
      <c r="C802" s="4">
        <v>25</v>
      </c>
      <c r="D802" s="8">
        <v>1.5</v>
      </c>
      <c r="E802" s="4">
        <v>1</v>
      </c>
      <c r="F802" s="8">
        <v>0.16</v>
      </c>
      <c r="G802" s="4">
        <v>24</v>
      </c>
      <c r="H802" s="8">
        <v>2.35</v>
      </c>
      <c r="I802" s="4">
        <v>0</v>
      </c>
    </row>
    <row r="803" spans="1:9" x14ac:dyDescent="0.2">
      <c r="A803" s="2">
        <v>17</v>
      </c>
      <c r="B803" s="1" t="s">
        <v>166</v>
      </c>
      <c r="C803" s="4">
        <v>24</v>
      </c>
      <c r="D803" s="8">
        <v>1.44</v>
      </c>
      <c r="E803" s="4">
        <v>1</v>
      </c>
      <c r="F803" s="8">
        <v>0.16</v>
      </c>
      <c r="G803" s="4">
        <v>23</v>
      </c>
      <c r="H803" s="8">
        <v>2.25</v>
      </c>
      <c r="I803" s="4">
        <v>0</v>
      </c>
    </row>
    <row r="804" spans="1:9" x14ac:dyDescent="0.2">
      <c r="A804" s="2">
        <v>17</v>
      </c>
      <c r="B804" s="1" t="s">
        <v>174</v>
      </c>
      <c r="C804" s="4">
        <v>24</v>
      </c>
      <c r="D804" s="8">
        <v>1.44</v>
      </c>
      <c r="E804" s="4">
        <v>21</v>
      </c>
      <c r="F804" s="8">
        <v>3.3</v>
      </c>
      <c r="G804" s="4">
        <v>3</v>
      </c>
      <c r="H804" s="8">
        <v>0.28999999999999998</v>
      </c>
      <c r="I804" s="4">
        <v>0</v>
      </c>
    </row>
    <row r="805" spans="1:9" x14ac:dyDescent="0.2">
      <c r="A805" s="2">
        <v>19</v>
      </c>
      <c r="B805" s="1" t="s">
        <v>158</v>
      </c>
      <c r="C805" s="4">
        <v>23</v>
      </c>
      <c r="D805" s="8">
        <v>1.38</v>
      </c>
      <c r="E805" s="4">
        <v>15</v>
      </c>
      <c r="F805" s="8">
        <v>2.36</v>
      </c>
      <c r="G805" s="4">
        <v>8</v>
      </c>
      <c r="H805" s="8">
        <v>0.78</v>
      </c>
      <c r="I805" s="4">
        <v>0</v>
      </c>
    </row>
    <row r="806" spans="1:9" x14ac:dyDescent="0.2">
      <c r="A806" s="2">
        <v>19</v>
      </c>
      <c r="B806" s="1" t="s">
        <v>170</v>
      </c>
      <c r="C806" s="4">
        <v>23</v>
      </c>
      <c r="D806" s="8">
        <v>1.38</v>
      </c>
      <c r="E806" s="4">
        <v>19</v>
      </c>
      <c r="F806" s="8">
        <v>2.99</v>
      </c>
      <c r="G806" s="4">
        <v>4</v>
      </c>
      <c r="H806" s="8">
        <v>0.39</v>
      </c>
      <c r="I806" s="4">
        <v>0</v>
      </c>
    </row>
    <row r="807" spans="1:9" x14ac:dyDescent="0.2">
      <c r="A807" s="1"/>
      <c r="C807" s="4"/>
      <c r="D807" s="8"/>
      <c r="E807" s="4"/>
      <c r="F807" s="8"/>
      <c r="G807" s="4"/>
      <c r="H807" s="8"/>
      <c r="I807" s="4"/>
    </row>
    <row r="808" spans="1:9" x14ac:dyDescent="0.2">
      <c r="A808" s="1" t="s">
        <v>36</v>
      </c>
      <c r="C808" s="4"/>
      <c r="D808" s="8"/>
      <c r="E808" s="4"/>
      <c r="F808" s="8"/>
      <c r="G808" s="4"/>
      <c r="H808" s="8"/>
      <c r="I808" s="4"/>
    </row>
    <row r="809" spans="1:9" x14ac:dyDescent="0.2">
      <c r="A809" s="2">
        <v>1</v>
      </c>
      <c r="B809" s="1" t="s">
        <v>162</v>
      </c>
      <c r="C809" s="4">
        <v>166</v>
      </c>
      <c r="D809" s="8">
        <v>6.44</v>
      </c>
      <c r="E809" s="4">
        <v>76</v>
      </c>
      <c r="F809" s="8">
        <v>6.91</v>
      </c>
      <c r="G809" s="4">
        <v>90</v>
      </c>
      <c r="H809" s="8">
        <v>6.23</v>
      </c>
      <c r="I809" s="4">
        <v>0</v>
      </c>
    </row>
    <row r="810" spans="1:9" x14ac:dyDescent="0.2">
      <c r="A810" s="2">
        <v>2</v>
      </c>
      <c r="B810" s="1" t="s">
        <v>172</v>
      </c>
      <c r="C810" s="4">
        <v>114</v>
      </c>
      <c r="D810" s="8">
        <v>4.42</v>
      </c>
      <c r="E810" s="4">
        <v>86</v>
      </c>
      <c r="F810" s="8">
        <v>7.82</v>
      </c>
      <c r="G810" s="4">
        <v>28</v>
      </c>
      <c r="H810" s="8">
        <v>1.94</v>
      </c>
      <c r="I810" s="4">
        <v>0</v>
      </c>
    </row>
    <row r="811" spans="1:9" x14ac:dyDescent="0.2">
      <c r="A811" s="2">
        <v>3</v>
      </c>
      <c r="B811" s="1" t="s">
        <v>173</v>
      </c>
      <c r="C811" s="4">
        <v>93</v>
      </c>
      <c r="D811" s="8">
        <v>3.61</v>
      </c>
      <c r="E811" s="4">
        <v>76</v>
      </c>
      <c r="F811" s="8">
        <v>6.91</v>
      </c>
      <c r="G811" s="4">
        <v>17</v>
      </c>
      <c r="H811" s="8">
        <v>1.18</v>
      </c>
      <c r="I811" s="4">
        <v>0</v>
      </c>
    </row>
    <row r="812" spans="1:9" x14ac:dyDescent="0.2">
      <c r="A812" s="2">
        <v>4</v>
      </c>
      <c r="B812" s="1" t="s">
        <v>171</v>
      </c>
      <c r="C812" s="4">
        <v>88</v>
      </c>
      <c r="D812" s="8">
        <v>3.41</v>
      </c>
      <c r="E812" s="4">
        <v>81</v>
      </c>
      <c r="F812" s="8">
        <v>7.36</v>
      </c>
      <c r="G812" s="4">
        <v>7</v>
      </c>
      <c r="H812" s="8">
        <v>0.48</v>
      </c>
      <c r="I812" s="4">
        <v>0</v>
      </c>
    </row>
    <row r="813" spans="1:9" x14ac:dyDescent="0.2">
      <c r="A813" s="2">
        <v>5</v>
      </c>
      <c r="B813" s="1" t="s">
        <v>163</v>
      </c>
      <c r="C813" s="4">
        <v>79</v>
      </c>
      <c r="D813" s="8">
        <v>3.07</v>
      </c>
      <c r="E813" s="4">
        <v>1</v>
      </c>
      <c r="F813" s="8">
        <v>0.09</v>
      </c>
      <c r="G813" s="4">
        <v>78</v>
      </c>
      <c r="H813" s="8">
        <v>5.4</v>
      </c>
      <c r="I813" s="4">
        <v>0</v>
      </c>
    </row>
    <row r="814" spans="1:9" x14ac:dyDescent="0.2">
      <c r="A814" s="2">
        <v>6</v>
      </c>
      <c r="B814" s="1" t="s">
        <v>175</v>
      </c>
      <c r="C814" s="4">
        <v>76</v>
      </c>
      <c r="D814" s="8">
        <v>2.95</v>
      </c>
      <c r="E814" s="4">
        <v>66</v>
      </c>
      <c r="F814" s="8">
        <v>6</v>
      </c>
      <c r="G814" s="4">
        <v>10</v>
      </c>
      <c r="H814" s="8">
        <v>0.69</v>
      </c>
      <c r="I814" s="4">
        <v>0</v>
      </c>
    </row>
    <row r="815" spans="1:9" x14ac:dyDescent="0.2">
      <c r="A815" s="2">
        <v>7</v>
      </c>
      <c r="B815" s="1" t="s">
        <v>169</v>
      </c>
      <c r="C815" s="4">
        <v>73</v>
      </c>
      <c r="D815" s="8">
        <v>2.83</v>
      </c>
      <c r="E815" s="4">
        <v>63</v>
      </c>
      <c r="F815" s="8">
        <v>5.73</v>
      </c>
      <c r="G815" s="4">
        <v>10</v>
      </c>
      <c r="H815" s="8">
        <v>0.69</v>
      </c>
      <c r="I815" s="4">
        <v>0</v>
      </c>
    </row>
    <row r="816" spans="1:9" x14ac:dyDescent="0.2">
      <c r="A816" s="2">
        <v>8</v>
      </c>
      <c r="B816" s="1" t="s">
        <v>168</v>
      </c>
      <c r="C816" s="4">
        <v>63</v>
      </c>
      <c r="D816" s="8">
        <v>2.44</v>
      </c>
      <c r="E816" s="4">
        <v>53</v>
      </c>
      <c r="F816" s="8">
        <v>4.82</v>
      </c>
      <c r="G816" s="4">
        <v>10</v>
      </c>
      <c r="H816" s="8">
        <v>0.69</v>
      </c>
      <c r="I816" s="4">
        <v>0</v>
      </c>
    </row>
    <row r="817" spans="1:9" x14ac:dyDescent="0.2">
      <c r="A817" s="2">
        <v>9</v>
      </c>
      <c r="B817" s="1" t="s">
        <v>158</v>
      </c>
      <c r="C817" s="4">
        <v>48</v>
      </c>
      <c r="D817" s="8">
        <v>1.86</v>
      </c>
      <c r="E817" s="4">
        <v>21</v>
      </c>
      <c r="F817" s="8">
        <v>1.91</v>
      </c>
      <c r="G817" s="4">
        <v>27</v>
      </c>
      <c r="H817" s="8">
        <v>1.87</v>
      </c>
      <c r="I817" s="4">
        <v>0</v>
      </c>
    </row>
    <row r="818" spans="1:9" x14ac:dyDescent="0.2">
      <c r="A818" s="2">
        <v>10</v>
      </c>
      <c r="B818" s="1" t="s">
        <v>206</v>
      </c>
      <c r="C818" s="4">
        <v>46</v>
      </c>
      <c r="D818" s="8">
        <v>1.79</v>
      </c>
      <c r="E818" s="4">
        <v>2</v>
      </c>
      <c r="F818" s="8">
        <v>0.18</v>
      </c>
      <c r="G818" s="4">
        <v>44</v>
      </c>
      <c r="H818" s="8">
        <v>3.04</v>
      </c>
      <c r="I818" s="4">
        <v>0</v>
      </c>
    </row>
    <row r="819" spans="1:9" x14ac:dyDescent="0.2">
      <c r="A819" s="2">
        <v>11</v>
      </c>
      <c r="B819" s="1" t="s">
        <v>201</v>
      </c>
      <c r="C819" s="4">
        <v>45</v>
      </c>
      <c r="D819" s="8">
        <v>1.75</v>
      </c>
      <c r="E819" s="4">
        <v>4</v>
      </c>
      <c r="F819" s="8">
        <v>0.36</v>
      </c>
      <c r="G819" s="4">
        <v>41</v>
      </c>
      <c r="H819" s="8">
        <v>2.84</v>
      </c>
      <c r="I819" s="4">
        <v>0</v>
      </c>
    </row>
    <row r="820" spans="1:9" x14ac:dyDescent="0.2">
      <c r="A820" s="2">
        <v>12</v>
      </c>
      <c r="B820" s="1" t="s">
        <v>225</v>
      </c>
      <c r="C820" s="4">
        <v>44</v>
      </c>
      <c r="D820" s="8">
        <v>1.71</v>
      </c>
      <c r="E820" s="4">
        <v>31</v>
      </c>
      <c r="F820" s="8">
        <v>2.82</v>
      </c>
      <c r="G820" s="4">
        <v>13</v>
      </c>
      <c r="H820" s="8">
        <v>0.9</v>
      </c>
      <c r="I820" s="4">
        <v>0</v>
      </c>
    </row>
    <row r="821" spans="1:9" x14ac:dyDescent="0.2">
      <c r="A821" s="2">
        <v>13</v>
      </c>
      <c r="B821" s="1" t="s">
        <v>159</v>
      </c>
      <c r="C821" s="4">
        <v>43</v>
      </c>
      <c r="D821" s="8">
        <v>1.67</v>
      </c>
      <c r="E821" s="4">
        <v>25</v>
      </c>
      <c r="F821" s="8">
        <v>2.27</v>
      </c>
      <c r="G821" s="4">
        <v>18</v>
      </c>
      <c r="H821" s="8">
        <v>1.25</v>
      </c>
      <c r="I821" s="4">
        <v>0</v>
      </c>
    </row>
    <row r="822" spans="1:9" x14ac:dyDescent="0.2">
      <c r="A822" s="2">
        <v>14</v>
      </c>
      <c r="B822" s="1" t="s">
        <v>221</v>
      </c>
      <c r="C822" s="4">
        <v>39</v>
      </c>
      <c r="D822" s="8">
        <v>1.51</v>
      </c>
      <c r="E822" s="4">
        <v>12</v>
      </c>
      <c r="F822" s="8">
        <v>1.0900000000000001</v>
      </c>
      <c r="G822" s="4">
        <v>27</v>
      </c>
      <c r="H822" s="8">
        <v>1.87</v>
      </c>
      <c r="I822" s="4">
        <v>0</v>
      </c>
    </row>
    <row r="823" spans="1:9" x14ac:dyDescent="0.2">
      <c r="A823" s="2">
        <v>14</v>
      </c>
      <c r="B823" s="1" t="s">
        <v>161</v>
      </c>
      <c r="C823" s="4">
        <v>39</v>
      </c>
      <c r="D823" s="8">
        <v>1.51</v>
      </c>
      <c r="E823" s="4">
        <v>2</v>
      </c>
      <c r="F823" s="8">
        <v>0.18</v>
      </c>
      <c r="G823" s="4">
        <v>37</v>
      </c>
      <c r="H823" s="8">
        <v>2.56</v>
      </c>
      <c r="I823" s="4">
        <v>0</v>
      </c>
    </row>
    <row r="824" spans="1:9" x14ac:dyDescent="0.2">
      <c r="A824" s="2">
        <v>14</v>
      </c>
      <c r="B824" s="1" t="s">
        <v>167</v>
      </c>
      <c r="C824" s="4">
        <v>39</v>
      </c>
      <c r="D824" s="8">
        <v>1.51</v>
      </c>
      <c r="E824" s="4">
        <v>7</v>
      </c>
      <c r="F824" s="8">
        <v>0.64</v>
      </c>
      <c r="G824" s="4">
        <v>30</v>
      </c>
      <c r="H824" s="8">
        <v>2.08</v>
      </c>
      <c r="I824" s="4">
        <v>1</v>
      </c>
    </row>
    <row r="825" spans="1:9" x14ac:dyDescent="0.2">
      <c r="A825" s="2">
        <v>17</v>
      </c>
      <c r="B825" s="1" t="s">
        <v>197</v>
      </c>
      <c r="C825" s="4">
        <v>38</v>
      </c>
      <c r="D825" s="8">
        <v>1.47</v>
      </c>
      <c r="E825" s="4">
        <v>17</v>
      </c>
      <c r="F825" s="8">
        <v>1.55</v>
      </c>
      <c r="G825" s="4">
        <v>21</v>
      </c>
      <c r="H825" s="8">
        <v>1.45</v>
      </c>
      <c r="I825" s="4">
        <v>0</v>
      </c>
    </row>
    <row r="826" spans="1:9" x14ac:dyDescent="0.2">
      <c r="A826" s="2">
        <v>18</v>
      </c>
      <c r="B826" s="1" t="s">
        <v>166</v>
      </c>
      <c r="C826" s="4">
        <v>37</v>
      </c>
      <c r="D826" s="8">
        <v>1.44</v>
      </c>
      <c r="E826" s="4">
        <v>2</v>
      </c>
      <c r="F826" s="8">
        <v>0.18</v>
      </c>
      <c r="G826" s="4">
        <v>35</v>
      </c>
      <c r="H826" s="8">
        <v>2.42</v>
      </c>
      <c r="I826" s="4">
        <v>0</v>
      </c>
    </row>
    <row r="827" spans="1:9" x14ac:dyDescent="0.2">
      <c r="A827" s="2">
        <v>19</v>
      </c>
      <c r="B827" s="1" t="s">
        <v>174</v>
      </c>
      <c r="C827" s="4">
        <v>36</v>
      </c>
      <c r="D827" s="8">
        <v>1.4</v>
      </c>
      <c r="E827" s="4">
        <v>36</v>
      </c>
      <c r="F827" s="8">
        <v>3.27</v>
      </c>
      <c r="G827" s="4">
        <v>0</v>
      </c>
      <c r="H827" s="8">
        <v>0</v>
      </c>
      <c r="I827" s="4">
        <v>0</v>
      </c>
    </row>
    <row r="828" spans="1:9" x14ac:dyDescent="0.2">
      <c r="A828" s="2">
        <v>20</v>
      </c>
      <c r="B828" s="1" t="s">
        <v>195</v>
      </c>
      <c r="C828" s="4">
        <v>35</v>
      </c>
      <c r="D828" s="8">
        <v>1.36</v>
      </c>
      <c r="E828" s="4">
        <v>8</v>
      </c>
      <c r="F828" s="8">
        <v>0.73</v>
      </c>
      <c r="G828" s="4">
        <v>27</v>
      </c>
      <c r="H828" s="8">
        <v>1.87</v>
      </c>
      <c r="I828" s="4">
        <v>0</v>
      </c>
    </row>
    <row r="829" spans="1:9" x14ac:dyDescent="0.2">
      <c r="A829" s="2">
        <v>20</v>
      </c>
      <c r="B829" s="1" t="s">
        <v>192</v>
      </c>
      <c r="C829" s="4">
        <v>35</v>
      </c>
      <c r="D829" s="8">
        <v>1.36</v>
      </c>
      <c r="E829" s="4">
        <v>5</v>
      </c>
      <c r="F829" s="8">
        <v>0.45</v>
      </c>
      <c r="G829" s="4">
        <v>30</v>
      </c>
      <c r="H829" s="8">
        <v>2.08</v>
      </c>
      <c r="I829" s="4">
        <v>0</v>
      </c>
    </row>
    <row r="830" spans="1:9" x14ac:dyDescent="0.2">
      <c r="A830" s="1"/>
      <c r="C830" s="4"/>
      <c r="D830" s="8"/>
      <c r="E830" s="4"/>
      <c r="F830" s="8"/>
      <c r="G830" s="4"/>
      <c r="H830" s="8"/>
      <c r="I830" s="4"/>
    </row>
    <row r="831" spans="1:9" x14ac:dyDescent="0.2">
      <c r="A831" s="1" t="s">
        <v>37</v>
      </c>
      <c r="C831" s="4"/>
      <c r="D831" s="8"/>
      <c r="E831" s="4"/>
      <c r="F831" s="8"/>
      <c r="G831" s="4"/>
      <c r="H831" s="8"/>
      <c r="I831" s="4"/>
    </row>
    <row r="832" spans="1:9" x14ac:dyDescent="0.2">
      <c r="A832" s="2">
        <v>1</v>
      </c>
      <c r="B832" s="1" t="s">
        <v>162</v>
      </c>
      <c r="C832" s="4">
        <v>274</v>
      </c>
      <c r="D832" s="8">
        <v>10.81</v>
      </c>
      <c r="E832" s="4">
        <v>188</v>
      </c>
      <c r="F832" s="8">
        <v>15.99</v>
      </c>
      <c r="G832" s="4">
        <v>86</v>
      </c>
      <c r="H832" s="8">
        <v>6.37</v>
      </c>
      <c r="I832" s="4">
        <v>0</v>
      </c>
    </row>
    <row r="833" spans="1:9" x14ac:dyDescent="0.2">
      <c r="A833" s="2">
        <v>2</v>
      </c>
      <c r="B833" s="1" t="s">
        <v>172</v>
      </c>
      <c r="C833" s="4">
        <v>114</v>
      </c>
      <c r="D833" s="8">
        <v>4.5</v>
      </c>
      <c r="E833" s="4">
        <v>94</v>
      </c>
      <c r="F833" s="8">
        <v>7.99</v>
      </c>
      <c r="G833" s="4">
        <v>20</v>
      </c>
      <c r="H833" s="8">
        <v>1.48</v>
      </c>
      <c r="I833" s="4">
        <v>0</v>
      </c>
    </row>
    <row r="834" spans="1:9" x14ac:dyDescent="0.2">
      <c r="A834" s="2">
        <v>3</v>
      </c>
      <c r="B834" s="1" t="s">
        <v>173</v>
      </c>
      <c r="C834" s="4">
        <v>104</v>
      </c>
      <c r="D834" s="8">
        <v>4.0999999999999996</v>
      </c>
      <c r="E834" s="4">
        <v>86</v>
      </c>
      <c r="F834" s="8">
        <v>7.31</v>
      </c>
      <c r="G834" s="4">
        <v>18</v>
      </c>
      <c r="H834" s="8">
        <v>1.33</v>
      </c>
      <c r="I834" s="4">
        <v>0</v>
      </c>
    </row>
    <row r="835" spans="1:9" x14ac:dyDescent="0.2">
      <c r="A835" s="2">
        <v>4</v>
      </c>
      <c r="B835" s="1" t="s">
        <v>175</v>
      </c>
      <c r="C835" s="4">
        <v>79</v>
      </c>
      <c r="D835" s="8">
        <v>3.12</v>
      </c>
      <c r="E835" s="4">
        <v>69</v>
      </c>
      <c r="F835" s="8">
        <v>5.87</v>
      </c>
      <c r="G835" s="4">
        <v>10</v>
      </c>
      <c r="H835" s="8">
        <v>0.74</v>
      </c>
      <c r="I835" s="4">
        <v>0</v>
      </c>
    </row>
    <row r="836" spans="1:9" x14ac:dyDescent="0.2">
      <c r="A836" s="2">
        <v>5</v>
      </c>
      <c r="B836" s="1" t="s">
        <v>168</v>
      </c>
      <c r="C836" s="4">
        <v>65</v>
      </c>
      <c r="D836" s="8">
        <v>2.56</v>
      </c>
      <c r="E836" s="4">
        <v>49</v>
      </c>
      <c r="F836" s="8">
        <v>4.17</v>
      </c>
      <c r="G836" s="4">
        <v>16</v>
      </c>
      <c r="H836" s="8">
        <v>1.19</v>
      </c>
      <c r="I836" s="4">
        <v>0</v>
      </c>
    </row>
    <row r="837" spans="1:9" x14ac:dyDescent="0.2">
      <c r="A837" s="2">
        <v>6</v>
      </c>
      <c r="B837" s="1" t="s">
        <v>163</v>
      </c>
      <c r="C837" s="4">
        <v>64</v>
      </c>
      <c r="D837" s="8">
        <v>2.52</v>
      </c>
      <c r="E837" s="4">
        <v>2</v>
      </c>
      <c r="F837" s="8">
        <v>0.17</v>
      </c>
      <c r="G837" s="4">
        <v>62</v>
      </c>
      <c r="H837" s="8">
        <v>4.59</v>
      </c>
      <c r="I837" s="4">
        <v>0</v>
      </c>
    </row>
    <row r="838" spans="1:9" x14ac:dyDescent="0.2">
      <c r="A838" s="2">
        <v>7</v>
      </c>
      <c r="B838" s="1" t="s">
        <v>171</v>
      </c>
      <c r="C838" s="4">
        <v>62</v>
      </c>
      <c r="D838" s="8">
        <v>2.4500000000000002</v>
      </c>
      <c r="E838" s="4">
        <v>51</v>
      </c>
      <c r="F838" s="8">
        <v>4.34</v>
      </c>
      <c r="G838" s="4">
        <v>11</v>
      </c>
      <c r="H838" s="8">
        <v>0.81</v>
      </c>
      <c r="I838" s="4">
        <v>0</v>
      </c>
    </row>
    <row r="839" spans="1:9" x14ac:dyDescent="0.2">
      <c r="A839" s="2">
        <v>8</v>
      </c>
      <c r="B839" s="1" t="s">
        <v>225</v>
      </c>
      <c r="C839" s="4">
        <v>52</v>
      </c>
      <c r="D839" s="8">
        <v>2.0499999999999998</v>
      </c>
      <c r="E839" s="4">
        <v>38</v>
      </c>
      <c r="F839" s="8">
        <v>3.23</v>
      </c>
      <c r="G839" s="4">
        <v>14</v>
      </c>
      <c r="H839" s="8">
        <v>1.04</v>
      </c>
      <c r="I839" s="4">
        <v>0</v>
      </c>
    </row>
    <row r="840" spans="1:9" x14ac:dyDescent="0.2">
      <c r="A840" s="2">
        <v>9</v>
      </c>
      <c r="B840" s="1" t="s">
        <v>167</v>
      </c>
      <c r="C840" s="4">
        <v>51</v>
      </c>
      <c r="D840" s="8">
        <v>2.0099999999999998</v>
      </c>
      <c r="E840" s="4">
        <v>15</v>
      </c>
      <c r="F840" s="8">
        <v>1.28</v>
      </c>
      <c r="G840" s="4">
        <v>36</v>
      </c>
      <c r="H840" s="8">
        <v>2.67</v>
      </c>
      <c r="I840" s="4">
        <v>0</v>
      </c>
    </row>
    <row r="841" spans="1:9" x14ac:dyDescent="0.2">
      <c r="A841" s="2">
        <v>10</v>
      </c>
      <c r="B841" s="1" t="s">
        <v>169</v>
      </c>
      <c r="C841" s="4">
        <v>43</v>
      </c>
      <c r="D841" s="8">
        <v>1.7</v>
      </c>
      <c r="E841" s="4">
        <v>39</v>
      </c>
      <c r="F841" s="8">
        <v>3.32</v>
      </c>
      <c r="G841" s="4">
        <v>4</v>
      </c>
      <c r="H841" s="8">
        <v>0.3</v>
      </c>
      <c r="I841" s="4">
        <v>0</v>
      </c>
    </row>
    <row r="842" spans="1:9" x14ac:dyDescent="0.2">
      <c r="A842" s="2">
        <v>11</v>
      </c>
      <c r="B842" s="1" t="s">
        <v>200</v>
      </c>
      <c r="C842" s="4">
        <v>40</v>
      </c>
      <c r="D842" s="8">
        <v>1.58</v>
      </c>
      <c r="E842" s="4">
        <v>10</v>
      </c>
      <c r="F842" s="8">
        <v>0.85</v>
      </c>
      <c r="G842" s="4">
        <v>30</v>
      </c>
      <c r="H842" s="8">
        <v>2.2200000000000002</v>
      </c>
      <c r="I842" s="4">
        <v>0</v>
      </c>
    </row>
    <row r="843" spans="1:9" x14ac:dyDescent="0.2">
      <c r="A843" s="2">
        <v>12</v>
      </c>
      <c r="B843" s="1" t="s">
        <v>157</v>
      </c>
      <c r="C843" s="4">
        <v>37</v>
      </c>
      <c r="D843" s="8">
        <v>1.46</v>
      </c>
      <c r="E843" s="4">
        <v>0</v>
      </c>
      <c r="F843" s="8">
        <v>0</v>
      </c>
      <c r="G843" s="4">
        <v>37</v>
      </c>
      <c r="H843" s="8">
        <v>2.74</v>
      </c>
      <c r="I843" s="4">
        <v>0</v>
      </c>
    </row>
    <row r="844" spans="1:9" x14ac:dyDescent="0.2">
      <c r="A844" s="2">
        <v>12</v>
      </c>
      <c r="B844" s="1" t="s">
        <v>159</v>
      </c>
      <c r="C844" s="4">
        <v>37</v>
      </c>
      <c r="D844" s="8">
        <v>1.46</v>
      </c>
      <c r="E844" s="4">
        <v>22</v>
      </c>
      <c r="F844" s="8">
        <v>1.87</v>
      </c>
      <c r="G844" s="4">
        <v>15</v>
      </c>
      <c r="H844" s="8">
        <v>1.1100000000000001</v>
      </c>
      <c r="I844" s="4">
        <v>0</v>
      </c>
    </row>
    <row r="845" spans="1:9" x14ac:dyDescent="0.2">
      <c r="A845" s="2">
        <v>14</v>
      </c>
      <c r="B845" s="1" t="s">
        <v>166</v>
      </c>
      <c r="C845" s="4">
        <v>35</v>
      </c>
      <c r="D845" s="8">
        <v>1.38</v>
      </c>
      <c r="E845" s="4">
        <v>4</v>
      </c>
      <c r="F845" s="8">
        <v>0.34</v>
      </c>
      <c r="G845" s="4">
        <v>31</v>
      </c>
      <c r="H845" s="8">
        <v>2.2999999999999998</v>
      </c>
      <c r="I845" s="4">
        <v>0</v>
      </c>
    </row>
    <row r="846" spans="1:9" x14ac:dyDescent="0.2">
      <c r="A846" s="2">
        <v>15</v>
      </c>
      <c r="B846" s="1" t="s">
        <v>201</v>
      </c>
      <c r="C846" s="4">
        <v>33</v>
      </c>
      <c r="D846" s="8">
        <v>1.3</v>
      </c>
      <c r="E846" s="4">
        <v>7</v>
      </c>
      <c r="F846" s="8">
        <v>0.6</v>
      </c>
      <c r="G846" s="4">
        <v>26</v>
      </c>
      <c r="H846" s="8">
        <v>1.93</v>
      </c>
      <c r="I846" s="4">
        <v>0</v>
      </c>
    </row>
    <row r="847" spans="1:9" x14ac:dyDescent="0.2">
      <c r="A847" s="2">
        <v>15</v>
      </c>
      <c r="B847" s="1" t="s">
        <v>174</v>
      </c>
      <c r="C847" s="4">
        <v>33</v>
      </c>
      <c r="D847" s="8">
        <v>1.3</v>
      </c>
      <c r="E847" s="4">
        <v>30</v>
      </c>
      <c r="F847" s="8">
        <v>2.5499999999999998</v>
      </c>
      <c r="G847" s="4">
        <v>3</v>
      </c>
      <c r="H847" s="8">
        <v>0.22</v>
      </c>
      <c r="I847" s="4">
        <v>0</v>
      </c>
    </row>
    <row r="848" spans="1:9" x14ac:dyDescent="0.2">
      <c r="A848" s="2">
        <v>17</v>
      </c>
      <c r="B848" s="1" t="s">
        <v>161</v>
      </c>
      <c r="C848" s="4">
        <v>32</v>
      </c>
      <c r="D848" s="8">
        <v>1.26</v>
      </c>
      <c r="E848" s="4">
        <v>7</v>
      </c>
      <c r="F848" s="8">
        <v>0.6</v>
      </c>
      <c r="G848" s="4">
        <v>25</v>
      </c>
      <c r="H848" s="8">
        <v>1.85</v>
      </c>
      <c r="I848" s="4">
        <v>0</v>
      </c>
    </row>
    <row r="849" spans="1:9" x14ac:dyDescent="0.2">
      <c r="A849" s="2">
        <v>18</v>
      </c>
      <c r="B849" s="1" t="s">
        <v>220</v>
      </c>
      <c r="C849" s="4">
        <v>31</v>
      </c>
      <c r="D849" s="8">
        <v>1.22</v>
      </c>
      <c r="E849" s="4">
        <v>5</v>
      </c>
      <c r="F849" s="8">
        <v>0.43</v>
      </c>
      <c r="G849" s="4">
        <v>26</v>
      </c>
      <c r="H849" s="8">
        <v>1.93</v>
      </c>
      <c r="I849" s="4">
        <v>0</v>
      </c>
    </row>
    <row r="850" spans="1:9" x14ac:dyDescent="0.2">
      <c r="A850" s="2">
        <v>18</v>
      </c>
      <c r="B850" s="1" t="s">
        <v>197</v>
      </c>
      <c r="C850" s="4">
        <v>31</v>
      </c>
      <c r="D850" s="8">
        <v>1.22</v>
      </c>
      <c r="E850" s="4">
        <v>13</v>
      </c>
      <c r="F850" s="8">
        <v>1.1100000000000001</v>
      </c>
      <c r="G850" s="4">
        <v>18</v>
      </c>
      <c r="H850" s="8">
        <v>1.33</v>
      </c>
      <c r="I850" s="4">
        <v>0</v>
      </c>
    </row>
    <row r="851" spans="1:9" x14ac:dyDescent="0.2">
      <c r="A851" s="2">
        <v>20</v>
      </c>
      <c r="B851" s="1" t="s">
        <v>226</v>
      </c>
      <c r="C851" s="4">
        <v>30</v>
      </c>
      <c r="D851" s="8">
        <v>1.18</v>
      </c>
      <c r="E851" s="4">
        <v>12</v>
      </c>
      <c r="F851" s="8">
        <v>1.02</v>
      </c>
      <c r="G851" s="4">
        <v>18</v>
      </c>
      <c r="H851" s="8">
        <v>1.33</v>
      </c>
      <c r="I851" s="4">
        <v>0</v>
      </c>
    </row>
    <row r="852" spans="1:9" x14ac:dyDescent="0.2">
      <c r="A852" s="2">
        <v>20</v>
      </c>
      <c r="B852" s="1" t="s">
        <v>198</v>
      </c>
      <c r="C852" s="4">
        <v>30</v>
      </c>
      <c r="D852" s="8">
        <v>1.18</v>
      </c>
      <c r="E852" s="4">
        <v>7</v>
      </c>
      <c r="F852" s="8">
        <v>0.6</v>
      </c>
      <c r="G852" s="4">
        <v>23</v>
      </c>
      <c r="H852" s="8">
        <v>1.7</v>
      </c>
      <c r="I852" s="4">
        <v>0</v>
      </c>
    </row>
    <row r="853" spans="1:9" x14ac:dyDescent="0.2">
      <c r="A853" s="1"/>
      <c r="C853" s="4"/>
      <c r="D853" s="8"/>
      <c r="E853" s="4"/>
      <c r="F853" s="8"/>
      <c r="G853" s="4"/>
      <c r="H853" s="8"/>
      <c r="I853" s="4"/>
    </row>
    <row r="854" spans="1:9" x14ac:dyDescent="0.2">
      <c r="A854" s="1" t="s">
        <v>38</v>
      </c>
      <c r="C854" s="4"/>
      <c r="D854" s="8"/>
      <c r="E854" s="4"/>
      <c r="F854" s="8"/>
      <c r="G854" s="4"/>
      <c r="H854" s="8"/>
      <c r="I854" s="4"/>
    </row>
    <row r="855" spans="1:9" x14ac:dyDescent="0.2">
      <c r="A855" s="2">
        <v>1</v>
      </c>
      <c r="B855" s="1" t="s">
        <v>172</v>
      </c>
      <c r="C855" s="4">
        <v>103</v>
      </c>
      <c r="D855" s="8">
        <v>4.79</v>
      </c>
      <c r="E855" s="4">
        <v>87</v>
      </c>
      <c r="F855" s="8">
        <v>9.2200000000000006</v>
      </c>
      <c r="G855" s="4">
        <v>16</v>
      </c>
      <c r="H855" s="8">
        <v>1.33</v>
      </c>
      <c r="I855" s="4">
        <v>0</v>
      </c>
    </row>
    <row r="856" spans="1:9" x14ac:dyDescent="0.2">
      <c r="A856" s="2">
        <v>2</v>
      </c>
      <c r="B856" s="1" t="s">
        <v>162</v>
      </c>
      <c r="C856" s="4">
        <v>97</v>
      </c>
      <c r="D856" s="8">
        <v>4.51</v>
      </c>
      <c r="E856" s="4">
        <v>31</v>
      </c>
      <c r="F856" s="8">
        <v>3.28</v>
      </c>
      <c r="G856" s="4">
        <v>66</v>
      </c>
      <c r="H856" s="8">
        <v>5.49</v>
      </c>
      <c r="I856" s="4">
        <v>0</v>
      </c>
    </row>
    <row r="857" spans="1:9" x14ac:dyDescent="0.2">
      <c r="A857" s="2">
        <v>3</v>
      </c>
      <c r="B857" s="1" t="s">
        <v>169</v>
      </c>
      <c r="C857" s="4">
        <v>83</v>
      </c>
      <c r="D857" s="8">
        <v>3.86</v>
      </c>
      <c r="E857" s="4">
        <v>75</v>
      </c>
      <c r="F857" s="8">
        <v>7.94</v>
      </c>
      <c r="G857" s="4">
        <v>8</v>
      </c>
      <c r="H857" s="8">
        <v>0.67</v>
      </c>
      <c r="I857" s="4">
        <v>0</v>
      </c>
    </row>
    <row r="858" spans="1:9" x14ac:dyDescent="0.2">
      <c r="A858" s="2">
        <v>4</v>
      </c>
      <c r="B858" s="1" t="s">
        <v>175</v>
      </c>
      <c r="C858" s="4">
        <v>70</v>
      </c>
      <c r="D858" s="8">
        <v>3.25</v>
      </c>
      <c r="E858" s="4">
        <v>63</v>
      </c>
      <c r="F858" s="8">
        <v>6.67</v>
      </c>
      <c r="G858" s="4">
        <v>7</v>
      </c>
      <c r="H858" s="8">
        <v>0.57999999999999996</v>
      </c>
      <c r="I858" s="4">
        <v>0</v>
      </c>
    </row>
    <row r="859" spans="1:9" x14ac:dyDescent="0.2">
      <c r="A859" s="2">
        <v>5</v>
      </c>
      <c r="B859" s="1" t="s">
        <v>173</v>
      </c>
      <c r="C859" s="4">
        <v>58</v>
      </c>
      <c r="D859" s="8">
        <v>2.7</v>
      </c>
      <c r="E859" s="4">
        <v>47</v>
      </c>
      <c r="F859" s="8">
        <v>4.9800000000000004</v>
      </c>
      <c r="G859" s="4">
        <v>11</v>
      </c>
      <c r="H859" s="8">
        <v>0.91</v>
      </c>
      <c r="I859" s="4">
        <v>0</v>
      </c>
    </row>
    <row r="860" spans="1:9" x14ac:dyDescent="0.2">
      <c r="A860" s="2">
        <v>6</v>
      </c>
      <c r="B860" s="1" t="s">
        <v>168</v>
      </c>
      <c r="C860" s="4">
        <v>55</v>
      </c>
      <c r="D860" s="8">
        <v>2.56</v>
      </c>
      <c r="E860" s="4">
        <v>39</v>
      </c>
      <c r="F860" s="8">
        <v>4.13</v>
      </c>
      <c r="G860" s="4">
        <v>16</v>
      </c>
      <c r="H860" s="8">
        <v>1.33</v>
      </c>
      <c r="I860" s="4">
        <v>0</v>
      </c>
    </row>
    <row r="861" spans="1:9" x14ac:dyDescent="0.2">
      <c r="A861" s="2">
        <v>7</v>
      </c>
      <c r="B861" s="1" t="s">
        <v>171</v>
      </c>
      <c r="C861" s="4">
        <v>52</v>
      </c>
      <c r="D861" s="8">
        <v>2.42</v>
      </c>
      <c r="E861" s="4">
        <v>46</v>
      </c>
      <c r="F861" s="8">
        <v>4.87</v>
      </c>
      <c r="G861" s="4">
        <v>6</v>
      </c>
      <c r="H861" s="8">
        <v>0.5</v>
      </c>
      <c r="I861" s="4">
        <v>0</v>
      </c>
    </row>
    <row r="862" spans="1:9" x14ac:dyDescent="0.2">
      <c r="A862" s="2">
        <v>8</v>
      </c>
      <c r="B862" s="1" t="s">
        <v>197</v>
      </c>
      <c r="C862" s="4">
        <v>50</v>
      </c>
      <c r="D862" s="8">
        <v>2.3199999999999998</v>
      </c>
      <c r="E862" s="4">
        <v>28</v>
      </c>
      <c r="F862" s="8">
        <v>2.97</v>
      </c>
      <c r="G862" s="4">
        <v>22</v>
      </c>
      <c r="H862" s="8">
        <v>1.83</v>
      </c>
      <c r="I862" s="4">
        <v>0</v>
      </c>
    </row>
    <row r="863" spans="1:9" x14ac:dyDescent="0.2">
      <c r="A863" s="2">
        <v>9</v>
      </c>
      <c r="B863" s="1" t="s">
        <v>159</v>
      </c>
      <c r="C863" s="4">
        <v>43</v>
      </c>
      <c r="D863" s="8">
        <v>2</v>
      </c>
      <c r="E863" s="4">
        <v>20</v>
      </c>
      <c r="F863" s="8">
        <v>2.12</v>
      </c>
      <c r="G863" s="4">
        <v>22</v>
      </c>
      <c r="H863" s="8">
        <v>1.83</v>
      </c>
      <c r="I863" s="4">
        <v>0</v>
      </c>
    </row>
    <row r="864" spans="1:9" x14ac:dyDescent="0.2">
      <c r="A864" s="2">
        <v>10</v>
      </c>
      <c r="B864" s="1" t="s">
        <v>201</v>
      </c>
      <c r="C864" s="4">
        <v>41</v>
      </c>
      <c r="D864" s="8">
        <v>1.91</v>
      </c>
      <c r="E864" s="4">
        <v>7</v>
      </c>
      <c r="F864" s="8">
        <v>0.74</v>
      </c>
      <c r="G864" s="4">
        <v>34</v>
      </c>
      <c r="H864" s="8">
        <v>2.83</v>
      </c>
      <c r="I864" s="4">
        <v>0</v>
      </c>
    </row>
    <row r="865" spans="1:9" x14ac:dyDescent="0.2">
      <c r="A865" s="2">
        <v>11</v>
      </c>
      <c r="B865" s="1" t="s">
        <v>167</v>
      </c>
      <c r="C865" s="4">
        <v>40</v>
      </c>
      <c r="D865" s="8">
        <v>1.86</v>
      </c>
      <c r="E865" s="4">
        <v>9</v>
      </c>
      <c r="F865" s="8">
        <v>0.95</v>
      </c>
      <c r="G865" s="4">
        <v>31</v>
      </c>
      <c r="H865" s="8">
        <v>2.58</v>
      </c>
      <c r="I865" s="4">
        <v>0</v>
      </c>
    </row>
    <row r="866" spans="1:9" x14ac:dyDescent="0.2">
      <c r="A866" s="2">
        <v>12</v>
      </c>
      <c r="B866" s="1" t="s">
        <v>163</v>
      </c>
      <c r="C866" s="4">
        <v>39</v>
      </c>
      <c r="D866" s="8">
        <v>1.81</v>
      </c>
      <c r="E866" s="4">
        <v>0</v>
      </c>
      <c r="F866" s="8">
        <v>0</v>
      </c>
      <c r="G866" s="4">
        <v>39</v>
      </c>
      <c r="H866" s="8">
        <v>3.24</v>
      </c>
      <c r="I866" s="4">
        <v>0</v>
      </c>
    </row>
    <row r="867" spans="1:9" x14ac:dyDescent="0.2">
      <c r="A867" s="2">
        <v>12</v>
      </c>
      <c r="B867" s="1" t="s">
        <v>170</v>
      </c>
      <c r="C867" s="4">
        <v>39</v>
      </c>
      <c r="D867" s="8">
        <v>1.81</v>
      </c>
      <c r="E867" s="4">
        <v>32</v>
      </c>
      <c r="F867" s="8">
        <v>3.39</v>
      </c>
      <c r="G867" s="4">
        <v>7</v>
      </c>
      <c r="H867" s="8">
        <v>0.57999999999999996</v>
      </c>
      <c r="I867" s="4">
        <v>0</v>
      </c>
    </row>
    <row r="868" spans="1:9" x14ac:dyDescent="0.2">
      <c r="A868" s="2">
        <v>14</v>
      </c>
      <c r="B868" s="1" t="s">
        <v>160</v>
      </c>
      <c r="C868" s="4">
        <v>38</v>
      </c>
      <c r="D868" s="8">
        <v>1.77</v>
      </c>
      <c r="E868" s="4">
        <v>4</v>
      </c>
      <c r="F868" s="8">
        <v>0.42</v>
      </c>
      <c r="G868" s="4">
        <v>34</v>
      </c>
      <c r="H868" s="8">
        <v>2.83</v>
      </c>
      <c r="I868" s="4">
        <v>0</v>
      </c>
    </row>
    <row r="869" spans="1:9" x14ac:dyDescent="0.2">
      <c r="A869" s="2">
        <v>15</v>
      </c>
      <c r="B869" s="1" t="s">
        <v>158</v>
      </c>
      <c r="C869" s="4">
        <v>36</v>
      </c>
      <c r="D869" s="8">
        <v>1.67</v>
      </c>
      <c r="E869" s="4">
        <v>20</v>
      </c>
      <c r="F869" s="8">
        <v>2.12</v>
      </c>
      <c r="G869" s="4">
        <v>16</v>
      </c>
      <c r="H869" s="8">
        <v>1.33</v>
      </c>
      <c r="I869" s="4">
        <v>0</v>
      </c>
    </row>
    <row r="870" spans="1:9" x14ac:dyDescent="0.2">
      <c r="A870" s="2">
        <v>16</v>
      </c>
      <c r="B870" s="1" t="s">
        <v>200</v>
      </c>
      <c r="C870" s="4">
        <v>34</v>
      </c>
      <c r="D870" s="8">
        <v>1.58</v>
      </c>
      <c r="E870" s="4">
        <v>2</v>
      </c>
      <c r="F870" s="8">
        <v>0.21</v>
      </c>
      <c r="G870" s="4">
        <v>32</v>
      </c>
      <c r="H870" s="8">
        <v>2.66</v>
      </c>
      <c r="I870" s="4">
        <v>0</v>
      </c>
    </row>
    <row r="871" spans="1:9" x14ac:dyDescent="0.2">
      <c r="A871" s="2">
        <v>16</v>
      </c>
      <c r="B871" s="1" t="s">
        <v>226</v>
      </c>
      <c r="C871" s="4">
        <v>34</v>
      </c>
      <c r="D871" s="8">
        <v>1.58</v>
      </c>
      <c r="E871" s="4">
        <v>8</v>
      </c>
      <c r="F871" s="8">
        <v>0.85</v>
      </c>
      <c r="G871" s="4">
        <v>26</v>
      </c>
      <c r="H871" s="8">
        <v>2.16</v>
      </c>
      <c r="I871" s="4">
        <v>0</v>
      </c>
    </row>
    <row r="872" spans="1:9" x14ac:dyDescent="0.2">
      <c r="A872" s="2">
        <v>18</v>
      </c>
      <c r="B872" s="1" t="s">
        <v>195</v>
      </c>
      <c r="C872" s="4">
        <v>33</v>
      </c>
      <c r="D872" s="8">
        <v>1.53</v>
      </c>
      <c r="E872" s="4">
        <v>5</v>
      </c>
      <c r="F872" s="8">
        <v>0.53</v>
      </c>
      <c r="G872" s="4">
        <v>28</v>
      </c>
      <c r="H872" s="8">
        <v>2.33</v>
      </c>
      <c r="I872" s="4">
        <v>0</v>
      </c>
    </row>
    <row r="873" spans="1:9" x14ac:dyDescent="0.2">
      <c r="A873" s="2">
        <v>18</v>
      </c>
      <c r="B873" s="1" t="s">
        <v>192</v>
      </c>
      <c r="C873" s="4">
        <v>33</v>
      </c>
      <c r="D873" s="8">
        <v>1.53</v>
      </c>
      <c r="E873" s="4">
        <v>6</v>
      </c>
      <c r="F873" s="8">
        <v>0.64</v>
      </c>
      <c r="G873" s="4">
        <v>27</v>
      </c>
      <c r="H873" s="8">
        <v>2.2400000000000002</v>
      </c>
      <c r="I873" s="4">
        <v>0</v>
      </c>
    </row>
    <row r="874" spans="1:9" x14ac:dyDescent="0.2">
      <c r="A874" s="2">
        <v>20</v>
      </c>
      <c r="B874" s="1" t="s">
        <v>225</v>
      </c>
      <c r="C874" s="4">
        <v>32</v>
      </c>
      <c r="D874" s="8">
        <v>1.49</v>
      </c>
      <c r="E874" s="4">
        <v>23</v>
      </c>
      <c r="F874" s="8">
        <v>2.44</v>
      </c>
      <c r="G874" s="4">
        <v>9</v>
      </c>
      <c r="H874" s="8">
        <v>0.75</v>
      </c>
      <c r="I874" s="4">
        <v>0</v>
      </c>
    </row>
    <row r="875" spans="1:9" x14ac:dyDescent="0.2">
      <c r="A875" s="1"/>
      <c r="C875" s="4"/>
      <c r="D875" s="8"/>
      <c r="E875" s="4"/>
      <c r="F875" s="8"/>
      <c r="G875" s="4"/>
      <c r="H875" s="8"/>
      <c r="I875" s="4"/>
    </row>
    <row r="876" spans="1:9" x14ac:dyDescent="0.2">
      <c r="A876" s="1" t="s">
        <v>39</v>
      </c>
      <c r="C876" s="4"/>
      <c r="D876" s="8"/>
      <c r="E876" s="4"/>
      <c r="F876" s="8"/>
      <c r="G876" s="4"/>
      <c r="H876" s="8"/>
      <c r="I876" s="4"/>
    </row>
    <row r="877" spans="1:9" x14ac:dyDescent="0.2">
      <c r="A877" s="2">
        <v>1</v>
      </c>
      <c r="B877" s="1" t="s">
        <v>162</v>
      </c>
      <c r="C877" s="4">
        <v>125</v>
      </c>
      <c r="D877" s="8">
        <v>6.52</v>
      </c>
      <c r="E877" s="4">
        <v>20</v>
      </c>
      <c r="F877" s="8">
        <v>2.82</v>
      </c>
      <c r="G877" s="4">
        <v>105</v>
      </c>
      <c r="H877" s="8">
        <v>8.75</v>
      </c>
      <c r="I877" s="4">
        <v>0</v>
      </c>
    </row>
    <row r="878" spans="1:9" x14ac:dyDescent="0.2">
      <c r="A878" s="2">
        <v>2</v>
      </c>
      <c r="B878" s="1" t="s">
        <v>172</v>
      </c>
      <c r="C878" s="4">
        <v>85</v>
      </c>
      <c r="D878" s="8">
        <v>4.43</v>
      </c>
      <c r="E878" s="4">
        <v>59</v>
      </c>
      <c r="F878" s="8">
        <v>8.32</v>
      </c>
      <c r="G878" s="4">
        <v>26</v>
      </c>
      <c r="H878" s="8">
        <v>2.17</v>
      </c>
      <c r="I878" s="4">
        <v>0</v>
      </c>
    </row>
    <row r="879" spans="1:9" x14ac:dyDescent="0.2">
      <c r="A879" s="2">
        <v>3</v>
      </c>
      <c r="B879" s="1" t="s">
        <v>173</v>
      </c>
      <c r="C879" s="4">
        <v>80</v>
      </c>
      <c r="D879" s="8">
        <v>4.17</v>
      </c>
      <c r="E879" s="4">
        <v>56</v>
      </c>
      <c r="F879" s="8">
        <v>7.9</v>
      </c>
      <c r="G879" s="4">
        <v>23</v>
      </c>
      <c r="H879" s="8">
        <v>1.92</v>
      </c>
      <c r="I879" s="4">
        <v>1</v>
      </c>
    </row>
    <row r="880" spans="1:9" x14ac:dyDescent="0.2">
      <c r="A880" s="2">
        <v>4</v>
      </c>
      <c r="B880" s="1" t="s">
        <v>175</v>
      </c>
      <c r="C880" s="4">
        <v>71</v>
      </c>
      <c r="D880" s="8">
        <v>3.7</v>
      </c>
      <c r="E880" s="4">
        <v>59</v>
      </c>
      <c r="F880" s="8">
        <v>8.32</v>
      </c>
      <c r="G880" s="4">
        <v>12</v>
      </c>
      <c r="H880" s="8">
        <v>1</v>
      </c>
      <c r="I880" s="4">
        <v>0</v>
      </c>
    </row>
    <row r="881" spans="1:9" x14ac:dyDescent="0.2">
      <c r="A881" s="2">
        <v>5</v>
      </c>
      <c r="B881" s="1" t="s">
        <v>169</v>
      </c>
      <c r="C881" s="4">
        <v>65</v>
      </c>
      <c r="D881" s="8">
        <v>3.39</v>
      </c>
      <c r="E881" s="4">
        <v>51</v>
      </c>
      <c r="F881" s="8">
        <v>7.19</v>
      </c>
      <c r="G881" s="4">
        <v>14</v>
      </c>
      <c r="H881" s="8">
        <v>1.17</v>
      </c>
      <c r="I881" s="4">
        <v>0</v>
      </c>
    </row>
    <row r="882" spans="1:9" x14ac:dyDescent="0.2">
      <c r="A882" s="2">
        <v>6</v>
      </c>
      <c r="B882" s="1" t="s">
        <v>163</v>
      </c>
      <c r="C882" s="4">
        <v>59</v>
      </c>
      <c r="D882" s="8">
        <v>3.08</v>
      </c>
      <c r="E882" s="4">
        <v>2</v>
      </c>
      <c r="F882" s="8">
        <v>0.28000000000000003</v>
      </c>
      <c r="G882" s="4">
        <v>57</v>
      </c>
      <c r="H882" s="8">
        <v>4.75</v>
      </c>
      <c r="I882" s="4">
        <v>0</v>
      </c>
    </row>
    <row r="883" spans="1:9" x14ac:dyDescent="0.2">
      <c r="A883" s="2">
        <v>7</v>
      </c>
      <c r="B883" s="1" t="s">
        <v>168</v>
      </c>
      <c r="C883" s="4">
        <v>54</v>
      </c>
      <c r="D883" s="8">
        <v>2.82</v>
      </c>
      <c r="E883" s="4">
        <v>41</v>
      </c>
      <c r="F883" s="8">
        <v>5.78</v>
      </c>
      <c r="G883" s="4">
        <v>13</v>
      </c>
      <c r="H883" s="8">
        <v>1.08</v>
      </c>
      <c r="I883" s="4">
        <v>0</v>
      </c>
    </row>
    <row r="884" spans="1:9" x14ac:dyDescent="0.2">
      <c r="A884" s="2">
        <v>8</v>
      </c>
      <c r="B884" s="1" t="s">
        <v>159</v>
      </c>
      <c r="C884" s="4">
        <v>47</v>
      </c>
      <c r="D884" s="8">
        <v>2.4500000000000002</v>
      </c>
      <c r="E884" s="4">
        <v>25</v>
      </c>
      <c r="F884" s="8">
        <v>3.53</v>
      </c>
      <c r="G884" s="4">
        <v>22</v>
      </c>
      <c r="H884" s="8">
        <v>1.83</v>
      </c>
      <c r="I884" s="4">
        <v>0</v>
      </c>
    </row>
    <row r="885" spans="1:9" x14ac:dyDescent="0.2">
      <c r="A885" s="2">
        <v>9</v>
      </c>
      <c r="B885" s="1" t="s">
        <v>161</v>
      </c>
      <c r="C885" s="4">
        <v>42</v>
      </c>
      <c r="D885" s="8">
        <v>2.19</v>
      </c>
      <c r="E885" s="4">
        <v>3</v>
      </c>
      <c r="F885" s="8">
        <v>0.42</v>
      </c>
      <c r="G885" s="4">
        <v>39</v>
      </c>
      <c r="H885" s="8">
        <v>3.25</v>
      </c>
      <c r="I885" s="4">
        <v>0</v>
      </c>
    </row>
    <row r="886" spans="1:9" x14ac:dyDescent="0.2">
      <c r="A886" s="2">
        <v>10</v>
      </c>
      <c r="B886" s="1" t="s">
        <v>167</v>
      </c>
      <c r="C886" s="4">
        <v>40</v>
      </c>
      <c r="D886" s="8">
        <v>2.09</v>
      </c>
      <c r="E886" s="4">
        <v>9</v>
      </c>
      <c r="F886" s="8">
        <v>1.27</v>
      </c>
      <c r="G886" s="4">
        <v>31</v>
      </c>
      <c r="H886" s="8">
        <v>2.58</v>
      </c>
      <c r="I886" s="4">
        <v>0</v>
      </c>
    </row>
    <row r="887" spans="1:9" x14ac:dyDescent="0.2">
      <c r="A887" s="2">
        <v>11</v>
      </c>
      <c r="B887" s="1" t="s">
        <v>170</v>
      </c>
      <c r="C887" s="4">
        <v>39</v>
      </c>
      <c r="D887" s="8">
        <v>2.0299999999999998</v>
      </c>
      <c r="E887" s="4">
        <v>31</v>
      </c>
      <c r="F887" s="8">
        <v>4.37</v>
      </c>
      <c r="G887" s="4">
        <v>8</v>
      </c>
      <c r="H887" s="8">
        <v>0.67</v>
      </c>
      <c r="I887" s="4">
        <v>0</v>
      </c>
    </row>
    <row r="888" spans="1:9" x14ac:dyDescent="0.2">
      <c r="A888" s="2">
        <v>12</v>
      </c>
      <c r="B888" s="1" t="s">
        <v>160</v>
      </c>
      <c r="C888" s="4">
        <v>38</v>
      </c>
      <c r="D888" s="8">
        <v>1.98</v>
      </c>
      <c r="E888" s="4">
        <v>0</v>
      </c>
      <c r="F888" s="8">
        <v>0</v>
      </c>
      <c r="G888" s="4">
        <v>38</v>
      </c>
      <c r="H888" s="8">
        <v>3.17</v>
      </c>
      <c r="I888" s="4">
        <v>0</v>
      </c>
    </row>
    <row r="889" spans="1:9" x14ac:dyDescent="0.2">
      <c r="A889" s="2">
        <v>13</v>
      </c>
      <c r="B889" s="1" t="s">
        <v>171</v>
      </c>
      <c r="C889" s="4">
        <v>36</v>
      </c>
      <c r="D889" s="8">
        <v>1.88</v>
      </c>
      <c r="E889" s="4">
        <v>32</v>
      </c>
      <c r="F889" s="8">
        <v>4.51</v>
      </c>
      <c r="G889" s="4">
        <v>4</v>
      </c>
      <c r="H889" s="8">
        <v>0.33</v>
      </c>
      <c r="I889" s="4">
        <v>0</v>
      </c>
    </row>
    <row r="890" spans="1:9" x14ac:dyDescent="0.2">
      <c r="A890" s="2">
        <v>14</v>
      </c>
      <c r="B890" s="1" t="s">
        <v>174</v>
      </c>
      <c r="C890" s="4">
        <v>33</v>
      </c>
      <c r="D890" s="8">
        <v>1.72</v>
      </c>
      <c r="E890" s="4">
        <v>28</v>
      </c>
      <c r="F890" s="8">
        <v>3.95</v>
      </c>
      <c r="G890" s="4">
        <v>5</v>
      </c>
      <c r="H890" s="8">
        <v>0.42</v>
      </c>
      <c r="I890" s="4">
        <v>0</v>
      </c>
    </row>
    <row r="891" spans="1:9" x14ac:dyDescent="0.2">
      <c r="A891" s="2">
        <v>15</v>
      </c>
      <c r="B891" s="1" t="s">
        <v>199</v>
      </c>
      <c r="C891" s="4">
        <v>32</v>
      </c>
      <c r="D891" s="8">
        <v>1.67</v>
      </c>
      <c r="E891" s="4">
        <v>7</v>
      </c>
      <c r="F891" s="8">
        <v>0.99</v>
      </c>
      <c r="G891" s="4">
        <v>25</v>
      </c>
      <c r="H891" s="8">
        <v>2.08</v>
      </c>
      <c r="I891" s="4">
        <v>0</v>
      </c>
    </row>
    <row r="892" spans="1:9" x14ac:dyDescent="0.2">
      <c r="A892" s="2">
        <v>16</v>
      </c>
      <c r="B892" s="1" t="s">
        <v>166</v>
      </c>
      <c r="C892" s="4">
        <v>29</v>
      </c>
      <c r="D892" s="8">
        <v>1.51</v>
      </c>
      <c r="E892" s="4">
        <v>2</v>
      </c>
      <c r="F892" s="8">
        <v>0.28000000000000003</v>
      </c>
      <c r="G892" s="4">
        <v>27</v>
      </c>
      <c r="H892" s="8">
        <v>2.25</v>
      </c>
      <c r="I892" s="4">
        <v>0</v>
      </c>
    </row>
    <row r="893" spans="1:9" x14ac:dyDescent="0.2">
      <c r="A893" s="2">
        <v>16</v>
      </c>
      <c r="B893" s="1" t="s">
        <v>225</v>
      </c>
      <c r="C893" s="4">
        <v>29</v>
      </c>
      <c r="D893" s="8">
        <v>1.51</v>
      </c>
      <c r="E893" s="4">
        <v>21</v>
      </c>
      <c r="F893" s="8">
        <v>2.96</v>
      </c>
      <c r="G893" s="4">
        <v>8</v>
      </c>
      <c r="H893" s="8">
        <v>0.67</v>
      </c>
      <c r="I893" s="4">
        <v>0</v>
      </c>
    </row>
    <row r="894" spans="1:9" x14ac:dyDescent="0.2">
      <c r="A894" s="2">
        <v>18</v>
      </c>
      <c r="B894" s="1" t="s">
        <v>200</v>
      </c>
      <c r="C894" s="4">
        <v>27</v>
      </c>
      <c r="D894" s="8">
        <v>1.41</v>
      </c>
      <c r="E894" s="4">
        <v>2</v>
      </c>
      <c r="F894" s="8">
        <v>0.28000000000000003</v>
      </c>
      <c r="G894" s="4">
        <v>25</v>
      </c>
      <c r="H894" s="8">
        <v>2.08</v>
      </c>
      <c r="I894" s="4">
        <v>0</v>
      </c>
    </row>
    <row r="895" spans="1:9" x14ac:dyDescent="0.2">
      <c r="A895" s="2">
        <v>19</v>
      </c>
      <c r="B895" s="1" t="s">
        <v>206</v>
      </c>
      <c r="C895" s="4">
        <v>25</v>
      </c>
      <c r="D895" s="8">
        <v>1.3</v>
      </c>
      <c r="E895" s="4">
        <v>4</v>
      </c>
      <c r="F895" s="8">
        <v>0.56000000000000005</v>
      </c>
      <c r="G895" s="4">
        <v>21</v>
      </c>
      <c r="H895" s="8">
        <v>1.75</v>
      </c>
      <c r="I895" s="4">
        <v>0</v>
      </c>
    </row>
    <row r="896" spans="1:9" x14ac:dyDescent="0.2">
      <c r="A896" s="2">
        <v>20</v>
      </c>
      <c r="B896" s="1" t="s">
        <v>157</v>
      </c>
      <c r="C896" s="4">
        <v>24</v>
      </c>
      <c r="D896" s="8">
        <v>1.25</v>
      </c>
      <c r="E896" s="4">
        <v>1</v>
      </c>
      <c r="F896" s="8">
        <v>0.14000000000000001</v>
      </c>
      <c r="G896" s="4">
        <v>23</v>
      </c>
      <c r="H896" s="8">
        <v>1.92</v>
      </c>
      <c r="I896" s="4">
        <v>0</v>
      </c>
    </row>
    <row r="897" spans="1:9" x14ac:dyDescent="0.2">
      <c r="A897" s="2">
        <v>20</v>
      </c>
      <c r="B897" s="1" t="s">
        <v>158</v>
      </c>
      <c r="C897" s="4">
        <v>24</v>
      </c>
      <c r="D897" s="8">
        <v>1.25</v>
      </c>
      <c r="E897" s="4">
        <v>8</v>
      </c>
      <c r="F897" s="8">
        <v>1.1299999999999999</v>
      </c>
      <c r="G897" s="4">
        <v>16</v>
      </c>
      <c r="H897" s="8">
        <v>1.33</v>
      </c>
      <c r="I897" s="4">
        <v>0</v>
      </c>
    </row>
    <row r="898" spans="1:9" x14ac:dyDescent="0.2">
      <c r="A898" s="2">
        <v>20</v>
      </c>
      <c r="B898" s="1" t="s">
        <v>191</v>
      </c>
      <c r="C898" s="4">
        <v>24</v>
      </c>
      <c r="D898" s="8">
        <v>1.25</v>
      </c>
      <c r="E898" s="4">
        <v>19</v>
      </c>
      <c r="F898" s="8">
        <v>2.68</v>
      </c>
      <c r="G898" s="4">
        <v>5</v>
      </c>
      <c r="H898" s="8">
        <v>0.42</v>
      </c>
      <c r="I898" s="4">
        <v>0</v>
      </c>
    </row>
    <row r="899" spans="1:9" x14ac:dyDescent="0.2">
      <c r="A899" s="1"/>
      <c r="C899" s="4"/>
      <c r="D899" s="8"/>
      <c r="E899" s="4"/>
      <c r="F899" s="8"/>
      <c r="G899" s="4"/>
      <c r="H899" s="8"/>
      <c r="I899" s="4"/>
    </row>
    <row r="900" spans="1:9" x14ac:dyDescent="0.2">
      <c r="A900" s="1" t="s">
        <v>40</v>
      </c>
      <c r="C900" s="4"/>
      <c r="D900" s="8"/>
      <c r="E900" s="4"/>
      <c r="F900" s="8"/>
      <c r="G900" s="4"/>
      <c r="H900" s="8"/>
      <c r="I900" s="4"/>
    </row>
    <row r="901" spans="1:9" x14ac:dyDescent="0.2">
      <c r="A901" s="2">
        <v>1</v>
      </c>
      <c r="B901" s="1" t="s">
        <v>162</v>
      </c>
      <c r="C901" s="4">
        <v>123</v>
      </c>
      <c r="D901" s="8">
        <v>8</v>
      </c>
      <c r="E901" s="4">
        <v>47</v>
      </c>
      <c r="F901" s="8">
        <v>7.19</v>
      </c>
      <c r="G901" s="4">
        <v>76</v>
      </c>
      <c r="H901" s="8">
        <v>8.64</v>
      </c>
      <c r="I901" s="4">
        <v>0</v>
      </c>
    </row>
    <row r="902" spans="1:9" x14ac:dyDescent="0.2">
      <c r="A902" s="2">
        <v>2</v>
      </c>
      <c r="B902" s="1" t="s">
        <v>172</v>
      </c>
      <c r="C902" s="4">
        <v>73</v>
      </c>
      <c r="D902" s="8">
        <v>4.75</v>
      </c>
      <c r="E902" s="4">
        <v>53</v>
      </c>
      <c r="F902" s="8">
        <v>8.1</v>
      </c>
      <c r="G902" s="4">
        <v>20</v>
      </c>
      <c r="H902" s="8">
        <v>2.27</v>
      </c>
      <c r="I902" s="4">
        <v>0</v>
      </c>
    </row>
    <row r="903" spans="1:9" x14ac:dyDescent="0.2">
      <c r="A903" s="2">
        <v>3</v>
      </c>
      <c r="B903" s="1" t="s">
        <v>175</v>
      </c>
      <c r="C903" s="4">
        <v>65</v>
      </c>
      <c r="D903" s="8">
        <v>4.2300000000000004</v>
      </c>
      <c r="E903" s="4">
        <v>59</v>
      </c>
      <c r="F903" s="8">
        <v>9.02</v>
      </c>
      <c r="G903" s="4">
        <v>6</v>
      </c>
      <c r="H903" s="8">
        <v>0.68</v>
      </c>
      <c r="I903" s="4">
        <v>0</v>
      </c>
    </row>
    <row r="904" spans="1:9" x14ac:dyDescent="0.2">
      <c r="A904" s="2">
        <v>4</v>
      </c>
      <c r="B904" s="1" t="s">
        <v>163</v>
      </c>
      <c r="C904" s="4">
        <v>55</v>
      </c>
      <c r="D904" s="8">
        <v>3.58</v>
      </c>
      <c r="E904" s="4">
        <v>0</v>
      </c>
      <c r="F904" s="8">
        <v>0</v>
      </c>
      <c r="G904" s="4">
        <v>55</v>
      </c>
      <c r="H904" s="8">
        <v>6.25</v>
      </c>
      <c r="I904" s="4">
        <v>0</v>
      </c>
    </row>
    <row r="905" spans="1:9" x14ac:dyDescent="0.2">
      <c r="A905" s="2">
        <v>4</v>
      </c>
      <c r="B905" s="1" t="s">
        <v>168</v>
      </c>
      <c r="C905" s="4">
        <v>55</v>
      </c>
      <c r="D905" s="8">
        <v>3.58</v>
      </c>
      <c r="E905" s="4">
        <v>40</v>
      </c>
      <c r="F905" s="8">
        <v>6.12</v>
      </c>
      <c r="G905" s="4">
        <v>15</v>
      </c>
      <c r="H905" s="8">
        <v>1.7</v>
      </c>
      <c r="I905" s="4">
        <v>0</v>
      </c>
    </row>
    <row r="906" spans="1:9" x14ac:dyDescent="0.2">
      <c r="A906" s="2">
        <v>6</v>
      </c>
      <c r="B906" s="1" t="s">
        <v>173</v>
      </c>
      <c r="C906" s="4">
        <v>51</v>
      </c>
      <c r="D906" s="8">
        <v>3.32</v>
      </c>
      <c r="E906" s="4">
        <v>32</v>
      </c>
      <c r="F906" s="8">
        <v>4.8899999999999997</v>
      </c>
      <c r="G906" s="4">
        <v>19</v>
      </c>
      <c r="H906" s="8">
        <v>2.16</v>
      </c>
      <c r="I906" s="4">
        <v>0</v>
      </c>
    </row>
    <row r="907" spans="1:9" x14ac:dyDescent="0.2">
      <c r="A907" s="2">
        <v>7</v>
      </c>
      <c r="B907" s="1" t="s">
        <v>159</v>
      </c>
      <c r="C907" s="4">
        <v>41</v>
      </c>
      <c r="D907" s="8">
        <v>2.67</v>
      </c>
      <c r="E907" s="4">
        <v>28</v>
      </c>
      <c r="F907" s="8">
        <v>4.28</v>
      </c>
      <c r="G907" s="4">
        <v>13</v>
      </c>
      <c r="H907" s="8">
        <v>1.48</v>
      </c>
      <c r="I907" s="4">
        <v>0</v>
      </c>
    </row>
    <row r="908" spans="1:9" x14ac:dyDescent="0.2">
      <c r="A908" s="2">
        <v>8</v>
      </c>
      <c r="B908" s="1" t="s">
        <v>169</v>
      </c>
      <c r="C908" s="4">
        <v>40</v>
      </c>
      <c r="D908" s="8">
        <v>2.6</v>
      </c>
      <c r="E908" s="4">
        <v>34</v>
      </c>
      <c r="F908" s="8">
        <v>5.2</v>
      </c>
      <c r="G908" s="4">
        <v>6</v>
      </c>
      <c r="H908" s="8">
        <v>0.68</v>
      </c>
      <c r="I908" s="4">
        <v>0</v>
      </c>
    </row>
    <row r="909" spans="1:9" x14ac:dyDescent="0.2">
      <c r="A909" s="2">
        <v>9</v>
      </c>
      <c r="B909" s="1" t="s">
        <v>171</v>
      </c>
      <c r="C909" s="4">
        <v>39</v>
      </c>
      <c r="D909" s="8">
        <v>2.54</v>
      </c>
      <c r="E909" s="4">
        <v>36</v>
      </c>
      <c r="F909" s="8">
        <v>5.5</v>
      </c>
      <c r="G909" s="4">
        <v>3</v>
      </c>
      <c r="H909" s="8">
        <v>0.34</v>
      </c>
      <c r="I909" s="4">
        <v>0</v>
      </c>
    </row>
    <row r="910" spans="1:9" x14ac:dyDescent="0.2">
      <c r="A910" s="2">
        <v>10</v>
      </c>
      <c r="B910" s="1" t="s">
        <v>161</v>
      </c>
      <c r="C910" s="4">
        <v>38</v>
      </c>
      <c r="D910" s="8">
        <v>2.4700000000000002</v>
      </c>
      <c r="E910" s="4">
        <v>4</v>
      </c>
      <c r="F910" s="8">
        <v>0.61</v>
      </c>
      <c r="G910" s="4">
        <v>34</v>
      </c>
      <c r="H910" s="8">
        <v>3.86</v>
      </c>
      <c r="I910" s="4">
        <v>0</v>
      </c>
    </row>
    <row r="911" spans="1:9" x14ac:dyDescent="0.2">
      <c r="A911" s="2">
        <v>11</v>
      </c>
      <c r="B911" s="1" t="s">
        <v>174</v>
      </c>
      <c r="C911" s="4">
        <v>33</v>
      </c>
      <c r="D911" s="8">
        <v>2.15</v>
      </c>
      <c r="E911" s="4">
        <v>29</v>
      </c>
      <c r="F911" s="8">
        <v>4.43</v>
      </c>
      <c r="G911" s="4">
        <v>4</v>
      </c>
      <c r="H911" s="8">
        <v>0.45</v>
      </c>
      <c r="I911" s="4">
        <v>0</v>
      </c>
    </row>
    <row r="912" spans="1:9" x14ac:dyDescent="0.2">
      <c r="A912" s="2">
        <v>12</v>
      </c>
      <c r="B912" s="1" t="s">
        <v>199</v>
      </c>
      <c r="C912" s="4">
        <v>28</v>
      </c>
      <c r="D912" s="8">
        <v>1.82</v>
      </c>
      <c r="E912" s="4">
        <v>15</v>
      </c>
      <c r="F912" s="8">
        <v>2.29</v>
      </c>
      <c r="G912" s="4">
        <v>13</v>
      </c>
      <c r="H912" s="8">
        <v>1.48</v>
      </c>
      <c r="I912" s="4">
        <v>0</v>
      </c>
    </row>
    <row r="913" spans="1:9" x14ac:dyDescent="0.2">
      <c r="A913" s="2">
        <v>13</v>
      </c>
      <c r="B913" s="1" t="s">
        <v>160</v>
      </c>
      <c r="C913" s="4">
        <v>25</v>
      </c>
      <c r="D913" s="8">
        <v>1.63</v>
      </c>
      <c r="E913" s="4">
        <v>5</v>
      </c>
      <c r="F913" s="8">
        <v>0.76</v>
      </c>
      <c r="G913" s="4">
        <v>20</v>
      </c>
      <c r="H913" s="8">
        <v>2.27</v>
      </c>
      <c r="I913" s="4">
        <v>0</v>
      </c>
    </row>
    <row r="914" spans="1:9" x14ac:dyDescent="0.2">
      <c r="A914" s="2">
        <v>13</v>
      </c>
      <c r="B914" s="1" t="s">
        <v>166</v>
      </c>
      <c r="C914" s="4">
        <v>25</v>
      </c>
      <c r="D914" s="8">
        <v>1.63</v>
      </c>
      <c r="E914" s="4">
        <v>1</v>
      </c>
      <c r="F914" s="8">
        <v>0.15</v>
      </c>
      <c r="G914" s="4">
        <v>24</v>
      </c>
      <c r="H914" s="8">
        <v>2.73</v>
      </c>
      <c r="I914" s="4">
        <v>0</v>
      </c>
    </row>
    <row r="915" spans="1:9" x14ac:dyDescent="0.2">
      <c r="A915" s="2">
        <v>15</v>
      </c>
      <c r="B915" s="1" t="s">
        <v>170</v>
      </c>
      <c r="C915" s="4">
        <v>23</v>
      </c>
      <c r="D915" s="8">
        <v>1.5</v>
      </c>
      <c r="E915" s="4">
        <v>19</v>
      </c>
      <c r="F915" s="8">
        <v>2.91</v>
      </c>
      <c r="G915" s="4">
        <v>4</v>
      </c>
      <c r="H915" s="8">
        <v>0.45</v>
      </c>
      <c r="I915" s="4">
        <v>0</v>
      </c>
    </row>
    <row r="916" spans="1:9" x14ac:dyDescent="0.2">
      <c r="A916" s="2">
        <v>15</v>
      </c>
      <c r="B916" s="1" t="s">
        <v>176</v>
      </c>
      <c r="C916" s="4">
        <v>23</v>
      </c>
      <c r="D916" s="8">
        <v>1.5</v>
      </c>
      <c r="E916" s="4">
        <v>4</v>
      </c>
      <c r="F916" s="8">
        <v>0.61</v>
      </c>
      <c r="G916" s="4">
        <v>19</v>
      </c>
      <c r="H916" s="8">
        <v>2.16</v>
      </c>
      <c r="I916" s="4">
        <v>0</v>
      </c>
    </row>
    <row r="917" spans="1:9" x14ac:dyDescent="0.2">
      <c r="A917" s="2">
        <v>17</v>
      </c>
      <c r="B917" s="1" t="s">
        <v>225</v>
      </c>
      <c r="C917" s="4">
        <v>21</v>
      </c>
      <c r="D917" s="8">
        <v>1.37</v>
      </c>
      <c r="E917" s="4">
        <v>13</v>
      </c>
      <c r="F917" s="8">
        <v>1.99</v>
      </c>
      <c r="G917" s="4">
        <v>8</v>
      </c>
      <c r="H917" s="8">
        <v>0.91</v>
      </c>
      <c r="I917" s="4">
        <v>0</v>
      </c>
    </row>
    <row r="918" spans="1:9" x14ac:dyDescent="0.2">
      <c r="A918" s="2">
        <v>18</v>
      </c>
      <c r="B918" s="1" t="s">
        <v>167</v>
      </c>
      <c r="C918" s="4">
        <v>20</v>
      </c>
      <c r="D918" s="8">
        <v>1.3</v>
      </c>
      <c r="E918" s="4">
        <v>6</v>
      </c>
      <c r="F918" s="8">
        <v>0.92</v>
      </c>
      <c r="G918" s="4">
        <v>14</v>
      </c>
      <c r="H918" s="8">
        <v>1.59</v>
      </c>
      <c r="I918" s="4">
        <v>0</v>
      </c>
    </row>
    <row r="919" spans="1:9" x14ac:dyDescent="0.2">
      <c r="A919" s="2">
        <v>18</v>
      </c>
      <c r="B919" s="1" t="s">
        <v>191</v>
      </c>
      <c r="C919" s="4">
        <v>20</v>
      </c>
      <c r="D919" s="8">
        <v>1.3</v>
      </c>
      <c r="E919" s="4">
        <v>17</v>
      </c>
      <c r="F919" s="8">
        <v>2.6</v>
      </c>
      <c r="G919" s="4">
        <v>3</v>
      </c>
      <c r="H919" s="8">
        <v>0.34</v>
      </c>
      <c r="I919" s="4">
        <v>0</v>
      </c>
    </row>
    <row r="920" spans="1:9" x14ac:dyDescent="0.2">
      <c r="A920" s="2">
        <v>18</v>
      </c>
      <c r="B920" s="1" t="s">
        <v>197</v>
      </c>
      <c r="C920" s="4">
        <v>20</v>
      </c>
      <c r="D920" s="8">
        <v>1.3</v>
      </c>
      <c r="E920" s="4">
        <v>6</v>
      </c>
      <c r="F920" s="8">
        <v>0.92</v>
      </c>
      <c r="G920" s="4">
        <v>14</v>
      </c>
      <c r="H920" s="8">
        <v>1.59</v>
      </c>
      <c r="I920" s="4">
        <v>0</v>
      </c>
    </row>
    <row r="921" spans="1:9" x14ac:dyDescent="0.2">
      <c r="A921" s="1"/>
      <c r="C921" s="4"/>
      <c r="D921" s="8"/>
      <c r="E921" s="4"/>
      <c r="F921" s="8"/>
      <c r="G921" s="4"/>
      <c r="H921" s="8"/>
      <c r="I921" s="4"/>
    </row>
    <row r="922" spans="1:9" x14ac:dyDescent="0.2">
      <c r="A922" s="1" t="s">
        <v>41</v>
      </c>
      <c r="C922" s="4"/>
      <c r="D922" s="8"/>
      <c r="E922" s="4"/>
      <c r="F922" s="8"/>
      <c r="G922" s="4"/>
      <c r="H922" s="8"/>
      <c r="I922" s="4"/>
    </row>
    <row r="923" spans="1:9" x14ac:dyDescent="0.2">
      <c r="A923" s="2">
        <v>1</v>
      </c>
      <c r="B923" s="1" t="s">
        <v>172</v>
      </c>
      <c r="C923" s="4">
        <v>57</v>
      </c>
      <c r="D923" s="8">
        <v>6.13</v>
      </c>
      <c r="E923" s="4">
        <v>49</v>
      </c>
      <c r="F923" s="8">
        <v>11.09</v>
      </c>
      <c r="G923" s="4">
        <v>8</v>
      </c>
      <c r="H923" s="8">
        <v>1.66</v>
      </c>
      <c r="I923" s="4">
        <v>0</v>
      </c>
    </row>
    <row r="924" spans="1:9" x14ac:dyDescent="0.2">
      <c r="A924" s="2">
        <v>2</v>
      </c>
      <c r="B924" s="1" t="s">
        <v>168</v>
      </c>
      <c r="C924" s="4">
        <v>44</v>
      </c>
      <c r="D924" s="8">
        <v>4.7300000000000004</v>
      </c>
      <c r="E924" s="4">
        <v>32</v>
      </c>
      <c r="F924" s="8">
        <v>7.24</v>
      </c>
      <c r="G924" s="4">
        <v>12</v>
      </c>
      <c r="H924" s="8">
        <v>2.4900000000000002</v>
      </c>
      <c r="I924" s="4">
        <v>0</v>
      </c>
    </row>
    <row r="925" spans="1:9" x14ac:dyDescent="0.2">
      <c r="A925" s="2">
        <v>3</v>
      </c>
      <c r="B925" s="1" t="s">
        <v>169</v>
      </c>
      <c r="C925" s="4">
        <v>42</v>
      </c>
      <c r="D925" s="8">
        <v>4.5199999999999996</v>
      </c>
      <c r="E925" s="4">
        <v>41</v>
      </c>
      <c r="F925" s="8">
        <v>9.2799999999999994</v>
      </c>
      <c r="G925" s="4">
        <v>1</v>
      </c>
      <c r="H925" s="8">
        <v>0.21</v>
      </c>
      <c r="I925" s="4">
        <v>0</v>
      </c>
    </row>
    <row r="926" spans="1:9" x14ac:dyDescent="0.2">
      <c r="A926" s="2">
        <v>4</v>
      </c>
      <c r="B926" s="1" t="s">
        <v>162</v>
      </c>
      <c r="C926" s="4">
        <v>35</v>
      </c>
      <c r="D926" s="8">
        <v>3.76</v>
      </c>
      <c r="E926" s="4">
        <v>6</v>
      </c>
      <c r="F926" s="8">
        <v>1.36</v>
      </c>
      <c r="G926" s="4">
        <v>29</v>
      </c>
      <c r="H926" s="8">
        <v>6.02</v>
      </c>
      <c r="I926" s="4">
        <v>0</v>
      </c>
    </row>
    <row r="927" spans="1:9" x14ac:dyDescent="0.2">
      <c r="A927" s="2">
        <v>5</v>
      </c>
      <c r="B927" s="1" t="s">
        <v>170</v>
      </c>
      <c r="C927" s="4">
        <v>32</v>
      </c>
      <c r="D927" s="8">
        <v>3.44</v>
      </c>
      <c r="E927" s="4">
        <v>32</v>
      </c>
      <c r="F927" s="8">
        <v>7.24</v>
      </c>
      <c r="G927" s="4">
        <v>0</v>
      </c>
      <c r="H927" s="8">
        <v>0</v>
      </c>
      <c r="I927" s="4">
        <v>0</v>
      </c>
    </row>
    <row r="928" spans="1:9" x14ac:dyDescent="0.2">
      <c r="A928" s="2">
        <v>6</v>
      </c>
      <c r="B928" s="1" t="s">
        <v>175</v>
      </c>
      <c r="C928" s="4">
        <v>30</v>
      </c>
      <c r="D928" s="8">
        <v>3.23</v>
      </c>
      <c r="E928" s="4">
        <v>21</v>
      </c>
      <c r="F928" s="8">
        <v>4.75</v>
      </c>
      <c r="G928" s="4">
        <v>9</v>
      </c>
      <c r="H928" s="8">
        <v>1.87</v>
      </c>
      <c r="I928" s="4">
        <v>0</v>
      </c>
    </row>
    <row r="929" spans="1:9" x14ac:dyDescent="0.2">
      <c r="A929" s="2">
        <v>7</v>
      </c>
      <c r="B929" s="1" t="s">
        <v>171</v>
      </c>
      <c r="C929" s="4">
        <v>28</v>
      </c>
      <c r="D929" s="8">
        <v>3.01</v>
      </c>
      <c r="E929" s="4">
        <v>27</v>
      </c>
      <c r="F929" s="8">
        <v>6.11</v>
      </c>
      <c r="G929" s="4">
        <v>1</v>
      </c>
      <c r="H929" s="8">
        <v>0.21</v>
      </c>
      <c r="I929" s="4">
        <v>0</v>
      </c>
    </row>
    <row r="930" spans="1:9" x14ac:dyDescent="0.2">
      <c r="A930" s="2">
        <v>8</v>
      </c>
      <c r="B930" s="1" t="s">
        <v>159</v>
      </c>
      <c r="C930" s="4">
        <v>27</v>
      </c>
      <c r="D930" s="8">
        <v>2.9</v>
      </c>
      <c r="E930" s="4">
        <v>12</v>
      </c>
      <c r="F930" s="8">
        <v>2.71</v>
      </c>
      <c r="G930" s="4">
        <v>15</v>
      </c>
      <c r="H930" s="8">
        <v>3.11</v>
      </c>
      <c r="I930" s="4">
        <v>0</v>
      </c>
    </row>
    <row r="931" spans="1:9" x14ac:dyDescent="0.2">
      <c r="A931" s="2">
        <v>9</v>
      </c>
      <c r="B931" s="1" t="s">
        <v>163</v>
      </c>
      <c r="C931" s="4">
        <v>23</v>
      </c>
      <c r="D931" s="8">
        <v>2.4700000000000002</v>
      </c>
      <c r="E931" s="4">
        <v>0</v>
      </c>
      <c r="F931" s="8">
        <v>0</v>
      </c>
      <c r="G931" s="4">
        <v>23</v>
      </c>
      <c r="H931" s="8">
        <v>4.7699999999999996</v>
      </c>
      <c r="I931" s="4">
        <v>0</v>
      </c>
    </row>
    <row r="932" spans="1:9" x14ac:dyDescent="0.2">
      <c r="A932" s="2">
        <v>10</v>
      </c>
      <c r="B932" s="1" t="s">
        <v>192</v>
      </c>
      <c r="C932" s="4">
        <v>20</v>
      </c>
      <c r="D932" s="8">
        <v>2.15</v>
      </c>
      <c r="E932" s="4">
        <v>5</v>
      </c>
      <c r="F932" s="8">
        <v>1.1299999999999999</v>
      </c>
      <c r="G932" s="4">
        <v>15</v>
      </c>
      <c r="H932" s="8">
        <v>3.11</v>
      </c>
      <c r="I932" s="4">
        <v>0</v>
      </c>
    </row>
    <row r="933" spans="1:9" x14ac:dyDescent="0.2">
      <c r="A933" s="2">
        <v>10</v>
      </c>
      <c r="B933" s="1" t="s">
        <v>221</v>
      </c>
      <c r="C933" s="4">
        <v>20</v>
      </c>
      <c r="D933" s="8">
        <v>2.15</v>
      </c>
      <c r="E933" s="4">
        <v>11</v>
      </c>
      <c r="F933" s="8">
        <v>2.4900000000000002</v>
      </c>
      <c r="G933" s="4">
        <v>9</v>
      </c>
      <c r="H933" s="8">
        <v>1.87</v>
      </c>
      <c r="I933" s="4">
        <v>0</v>
      </c>
    </row>
    <row r="934" spans="1:9" x14ac:dyDescent="0.2">
      <c r="A934" s="2">
        <v>12</v>
      </c>
      <c r="B934" s="1" t="s">
        <v>198</v>
      </c>
      <c r="C934" s="4">
        <v>18</v>
      </c>
      <c r="D934" s="8">
        <v>1.94</v>
      </c>
      <c r="E934" s="4">
        <v>4</v>
      </c>
      <c r="F934" s="8">
        <v>0.9</v>
      </c>
      <c r="G934" s="4">
        <v>14</v>
      </c>
      <c r="H934" s="8">
        <v>2.9</v>
      </c>
      <c r="I934" s="4">
        <v>0</v>
      </c>
    </row>
    <row r="935" spans="1:9" x14ac:dyDescent="0.2">
      <c r="A935" s="2">
        <v>12</v>
      </c>
      <c r="B935" s="1" t="s">
        <v>173</v>
      </c>
      <c r="C935" s="4">
        <v>18</v>
      </c>
      <c r="D935" s="8">
        <v>1.94</v>
      </c>
      <c r="E935" s="4">
        <v>15</v>
      </c>
      <c r="F935" s="8">
        <v>3.39</v>
      </c>
      <c r="G935" s="4">
        <v>3</v>
      </c>
      <c r="H935" s="8">
        <v>0.62</v>
      </c>
      <c r="I935" s="4">
        <v>0</v>
      </c>
    </row>
    <row r="936" spans="1:9" x14ac:dyDescent="0.2">
      <c r="A936" s="2">
        <v>14</v>
      </c>
      <c r="B936" s="1" t="s">
        <v>167</v>
      </c>
      <c r="C936" s="4">
        <v>16</v>
      </c>
      <c r="D936" s="8">
        <v>1.72</v>
      </c>
      <c r="E936" s="4">
        <v>5</v>
      </c>
      <c r="F936" s="8">
        <v>1.1299999999999999</v>
      </c>
      <c r="G936" s="4">
        <v>10</v>
      </c>
      <c r="H936" s="8">
        <v>2.0699999999999998</v>
      </c>
      <c r="I936" s="4">
        <v>0</v>
      </c>
    </row>
    <row r="937" spans="1:9" x14ac:dyDescent="0.2">
      <c r="A937" s="2">
        <v>15</v>
      </c>
      <c r="B937" s="1" t="s">
        <v>199</v>
      </c>
      <c r="C937" s="4">
        <v>15</v>
      </c>
      <c r="D937" s="8">
        <v>1.61</v>
      </c>
      <c r="E937" s="4">
        <v>9</v>
      </c>
      <c r="F937" s="8">
        <v>2.04</v>
      </c>
      <c r="G937" s="4">
        <v>6</v>
      </c>
      <c r="H937" s="8">
        <v>1.24</v>
      </c>
      <c r="I937" s="4">
        <v>0</v>
      </c>
    </row>
    <row r="938" spans="1:9" x14ac:dyDescent="0.2">
      <c r="A938" s="2">
        <v>16</v>
      </c>
      <c r="B938" s="1" t="s">
        <v>223</v>
      </c>
      <c r="C938" s="4">
        <v>14</v>
      </c>
      <c r="D938" s="8">
        <v>1.51</v>
      </c>
      <c r="E938" s="4">
        <v>9</v>
      </c>
      <c r="F938" s="8">
        <v>2.04</v>
      </c>
      <c r="G938" s="4">
        <v>5</v>
      </c>
      <c r="H938" s="8">
        <v>1.04</v>
      </c>
      <c r="I938" s="4">
        <v>0</v>
      </c>
    </row>
    <row r="939" spans="1:9" x14ac:dyDescent="0.2">
      <c r="A939" s="2">
        <v>16</v>
      </c>
      <c r="B939" s="1" t="s">
        <v>200</v>
      </c>
      <c r="C939" s="4">
        <v>14</v>
      </c>
      <c r="D939" s="8">
        <v>1.51</v>
      </c>
      <c r="E939" s="4">
        <v>3</v>
      </c>
      <c r="F939" s="8">
        <v>0.68</v>
      </c>
      <c r="G939" s="4">
        <v>11</v>
      </c>
      <c r="H939" s="8">
        <v>2.2799999999999998</v>
      </c>
      <c r="I939" s="4">
        <v>0</v>
      </c>
    </row>
    <row r="940" spans="1:9" x14ac:dyDescent="0.2">
      <c r="A940" s="2">
        <v>16</v>
      </c>
      <c r="B940" s="1" t="s">
        <v>160</v>
      </c>
      <c r="C940" s="4">
        <v>14</v>
      </c>
      <c r="D940" s="8">
        <v>1.51</v>
      </c>
      <c r="E940" s="4">
        <v>1</v>
      </c>
      <c r="F940" s="8">
        <v>0.23</v>
      </c>
      <c r="G940" s="4">
        <v>13</v>
      </c>
      <c r="H940" s="8">
        <v>2.7</v>
      </c>
      <c r="I940" s="4">
        <v>0</v>
      </c>
    </row>
    <row r="941" spans="1:9" x14ac:dyDescent="0.2">
      <c r="A941" s="2">
        <v>19</v>
      </c>
      <c r="B941" s="1" t="s">
        <v>197</v>
      </c>
      <c r="C941" s="4">
        <v>13</v>
      </c>
      <c r="D941" s="8">
        <v>1.4</v>
      </c>
      <c r="E941" s="4">
        <v>7</v>
      </c>
      <c r="F941" s="8">
        <v>1.58</v>
      </c>
      <c r="G941" s="4">
        <v>6</v>
      </c>
      <c r="H941" s="8">
        <v>1.24</v>
      </c>
      <c r="I941" s="4">
        <v>0</v>
      </c>
    </row>
    <row r="942" spans="1:9" x14ac:dyDescent="0.2">
      <c r="A942" s="2">
        <v>20</v>
      </c>
      <c r="B942" s="1" t="s">
        <v>158</v>
      </c>
      <c r="C942" s="4">
        <v>12</v>
      </c>
      <c r="D942" s="8">
        <v>1.29</v>
      </c>
      <c r="E942" s="4">
        <v>7</v>
      </c>
      <c r="F942" s="8">
        <v>1.58</v>
      </c>
      <c r="G942" s="4">
        <v>5</v>
      </c>
      <c r="H942" s="8">
        <v>1.04</v>
      </c>
      <c r="I942" s="4">
        <v>0</v>
      </c>
    </row>
    <row r="943" spans="1:9" x14ac:dyDescent="0.2">
      <c r="A943" s="2">
        <v>20</v>
      </c>
      <c r="B943" s="1" t="s">
        <v>224</v>
      </c>
      <c r="C943" s="4">
        <v>12</v>
      </c>
      <c r="D943" s="8">
        <v>1.29</v>
      </c>
      <c r="E943" s="4">
        <v>1</v>
      </c>
      <c r="F943" s="8">
        <v>0.23</v>
      </c>
      <c r="G943" s="4">
        <v>11</v>
      </c>
      <c r="H943" s="8">
        <v>2.2799999999999998</v>
      </c>
      <c r="I943" s="4">
        <v>0</v>
      </c>
    </row>
    <row r="944" spans="1:9" x14ac:dyDescent="0.2">
      <c r="A944" s="1"/>
      <c r="C944" s="4"/>
      <c r="D944" s="8"/>
      <c r="E944" s="4"/>
      <c r="F944" s="8"/>
      <c r="G944" s="4"/>
      <c r="H944" s="8"/>
      <c r="I944" s="4"/>
    </row>
    <row r="945" spans="1:9" x14ac:dyDescent="0.2">
      <c r="A945" s="1" t="s">
        <v>42</v>
      </c>
      <c r="C945" s="4"/>
      <c r="D945" s="8"/>
      <c r="E945" s="4"/>
      <c r="F945" s="8"/>
      <c r="G945" s="4"/>
      <c r="H945" s="8"/>
      <c r="I945" s="4"/>
    </row>
    <row r="946" spans="1:9" x14ac:dyDescent="0.2">
      <c r="A946" s="2">
        <v>1</v>
      </c>
      <c r="B946" s="1" t="s">
        <v>162</v>
      </c>
      <c r="C946" s="4">
        <v>131</v>
      </c>
      <c r="D946" s="8">
        <v>10.52</v>
      </c>
      <c r="E946" s="4">
        <v>70</v>
      </c>
      <c r="F946" s="8">
        <v>13.83</v>
      </c>
      <c r="G946" s="4">
        <v>61</v>
      </c>
      <c r="H946" s="8">
        <v>8.27</v>
      </c>
      <c r="I946" s="4">
        <v>0</v>
      </c>
    </row>
    <row r="947" spans="1:9" x14ac:dyDescent="0.2">
      <c r="A947" s="2">
        <v>2</v>
      </c>
      <c r="B947" s="1" t="s">
        <v>172</v>
      </c>
      <c r="C947" s="4">
        <v>51</v>
      </c>
      <c r="D947" s="8">
        <v>4.0999999999999996</v>
      </c>
      <c r="E947" s="4">
        <v>45</v>
      </c>
      <c r="F947" s="8">
        <v>8.89</v>
      </c>
      <c r="G947" s="4">
        <v>6</v>
      </c>
      <c r="H947" s="8">
        <v>0.81</v>
      </c>
      <c r="I947" s="4">
        <v>0</v>
      </c>
    </row>
    <row r="948" spans="1:9" x14ac:dyDescent="0.2">
      <c r="A948" s="2">
        <v>3</v>
      </c>
      <c r="B948" s="1" t="s">
        <v>163</v>
      </c>
      <c r="C948" s="4">
        <v>46</v>
      </c>
      <c r="D948" s="8">
        <v>3.69</v>
      </c>
      <c r="E948" s="4">
        <v>3</v>
      </c>
      <c r="F948" s="8">
        <v>0.59</v>
      </c>
      <c r="G948" s="4">
        <v>43</v>
      </c>
      <c r="H948" s="8">
        <v>5.83</v>
      </c>
      <c r="I948" s="4">
        <v>0</v>
      </c>
    </row>
    <row r="949" spans="1:9" x14ac:dyDescent="0.2">
      <c r="A949" s="2">
        <v>4</v>
      </c>
      <c r="B949" s="1" t="s">
        <v>168</v>
      </c>
      <c r="C949" s="4">
        <v>34</v>
      </c>
      <c r="D949" s="8">
        <v>2.73</v>
      </c>
      <c r="E949" s="4">
        <v>20</v>
      </c>
      <c r="F949" s="8">
        <v>3.95</v>
      </c>
      <c r="G949" s="4">
        <v>14</v>
      </c>
      <c r="H949" s="8">
        <v>1.9</v>
      </c>
      <c r="I949" s="4">
        <v>0</v>
      </c>
    </row>
    <row r="950" spans="1:9" x14ac:dyDescent="0.2">
      <c r="A950" s="2">
        <v>5</v>
      </c>
      <c r="B950" s="1" t="s">
        <v>171</v>
      </c>
      <c r="C950" s="4">
        <v>30</v>
      </c>
      <c r="D950" s="8">
        <v>2.41</v>
      </c>
      <c r="E950" s="4">
        <v>28</v>
      </c>
      <c r="F950" s="8">
        <v>5.53</v>
      </c>
      <c r="G950" s="4">
        <v>2</v>
      </c>
      <c r="H950" s="8">
        <v>0.27</v>
      </c>
      <c r="I950" s="4">
        <v>0</v>
      </c>
    </row>
    <row r="951" spans="1:9" x14ac:dyDescent="0.2">
      <c r="A951" s="2">
        <v>6</v>
      </c>
      <c r="B951" s="1" t="s">
        <v>175</v>
      </c>
      <c r="C951" s="4">
        <v>29</v>
      </c>
      <c r="D951" s="8">
        <v>2.33</v>
      </c>
      <c r="E951" s="4">
        <v>21</v>
      </c>
      <c r="F951" s="8">
        <v>4.1500000000000004</v>
      </c>
      <c r="G951" s="4">
        <v>8</v>
      </c>
      <c r="H951" s="8">
        <v>1.08</v>
      </c>
      <c r="I951" s="4">
        <v>0</v>
      </c>
    </row>
    <row r="952" spans="1:9" x14ac:dyDescent="0.2">
      <c r="A952" s="2">
        <v>7</v>
      </c>
      <c r="B952" s="1" t="s">
        <v>169</v>
      </c>
      <c r="C952" s="4">
        <v>28</v>
      </c>
      <c r="D952" s="8">
        <v>2.25</v>
      </c>
      <c r="E952" s="4">
        <v>23</v>
      </c>
      <c r="F952" s="8">
        <v>4.55</v>
      </c>
      <c r="G952" s="4">
        <v>5</v>
      </c>
      <c r="H952" s="8">
        <v>0.68</v>
      </c>
      <c r="I952" s="4">
        <v>0</v>
      </c>
    </row>
    <row r="953" spans="1:9" x14ac:dyDescent="0.2">
      <c r="A953" s="2">
        <v>8</v>
      </c>
      <c r="B953" s="1" t="s">
        <v>200</v>
      </c>
      <c r="C953" s="4">
        <v>27</v>
      </c>
      <c r="D953" s="8">
        <v>2.17</v>
      </c>
      <c r="E953" s="4">
        <v>3</v>
      </c>
      <c r="F953" s="8">
        <v>0.59</v>
      </c>
      <c r="G953" s="4">
        <v>24</v>
      </c>
      <c r="H953" s="8">
        <v>3.25</v>
      </c>
      <c r="I953" s="4">
        <v>0</v>
      </c>
    </row>
    <row r="954" spans="1:9" x14ac:dyDescent="0.2">
      <c r="A954" s="2">
        <v>8</v>
      </c>
      <c r="B954" s="1" t="s">
        <v>192</v>
      </c>
      <c r="C954" s="4">
        <v>27</v>
      </c>
      <c r="D954" s="8">
        <v>2.17</v>
      </c>
      <c r="E954" s="4">
        <v>4</v>
      </c>
      <c r="F954" s="8">
        <v>0.79</v>
      </c>
      <c r="G954" s="4">
        <v>23</v>
      </c>
      <c r="H954" s="8">
        <v>3.12</v>
      </c>
      <c r="I954" s="4">
        <v>0</v>
      </c>
    </row>
    <row r="955" spans="1:9" x14ac:dyDescent="0.2">
      <c r="A955" s="2">
        <v>8</v>
      </c>
      <c r="B955" s="1" t="s">
        <v>159</v>
      </c>
      <c r="C955" s="4">
        <v>27</v>
      </c>
      <c r="D955" s="8">
        <v>2.17</v>
      </c>
      <c r="E955" s="4">
        <v>18</v>
      </c>
      <c r="F955" s="8">
        <v>3.56</v>
      </c>
      <c r="G955" s="4">
        <v>9</v>
      </c>
      <c r="H955" s="8">
        <v>1.22</v>
      </c>
      <c r="I955" s="4">
        <v>0</v>
      </c>
    </row>
    <row r="956" spans="1:9" x14ac:dyDescent="0.2">
      <c r="A956" s="2">
        <v>11</v>
      </c>
      <c r="B956" s="1" t="s">
        <v>173</v>
      </c>
      <c r="C956" s="4">
        <v>25</v>
      </c>
      <c r="D956" s="8">
        <v>2.0099999999999998</v>
      </c>
      <c r="E956" s="4">
        <v>13</v>
      </c>
      <c r="F956" s="8">
        <v>2.57</v>
      </c>
      <c r="G956" s="4">
        <v>12</v>
      </c>
      <c r="H956" s="8">
        <v>1.63</v>
      </c>
      <c r="I956" s="4">
        <v>0</v>
      </c>
    </row>
    <row r="957" spans="1:9" x14ac:dyDescent="0.2">
      <c r="A957" s="2">
        <v>12</v>
      </c>
      <c r="B957" s="1" t="s">
        <v>201</v>
      </c>
      <c r="C957" s="4">
        <v>24</v>
      </c>
      <c r="D957" s="8">
        <v>1.93</v>
      </c>
      <c r="E957" s="4">
        <v>4</v>
      </c>
      <c r="F957" s="8">
        <v>0.79</v>
      </c>
      <c r="G957" s="4">
        <v>20</v>
      </c>
      <c r="H957" s="8">
        <v>2.71</v>
      </c>
      <c r="I957" s="4">
        <v>0</v>
      </c>
    </row>
    <row r="958" spans="1:9" x14ac:dyDescent="0.2">
      <c r="A958" s="2">
        <v>12</v>
      </c>
      <c r="B958" s="1" t="s">
        <v>170</v>
      </c>
      <c r="C958" s="4">
        <v>24</v>
      </c>
      <c r="D958" s="8">
        <v>1.93</v>
      </c>
      <c r="E958" s="4">
        <v>21</v>
      </c>
      <c r="F958" s="8">
        <v>4.1500000000000004</v>
      </c>
      <c r="G958" s="4">
        <v>3</v>
      </c>
      <c r="H958" s="8">
        <v>0.41</v>
      </c>
      <c r="I958" s="4">
        <v>0</v>
      </c>
    </row>
    <row r="959" spans="1:9" x14ac:dyDescent="0.2">
      <c r="A959" s="2">
        <v>14</v>
      </c>
      <c r="B959" s="1" t="s">
        <v>197</v>
      </c>
      <c r="C959" s="4">
        <v>20</v>
      </c>
      <c r="D959" s="8">
        <v>1.61</v>
      </c>
      <c r="E959" s="4">
        <v>13</v>
      </c>
      <c r="F959" s="8">
        <v>2.57</v>
      </c>
      <c r="G959" s="4">
        <v>7</v>
      </c>
      <c r="H959" s="8">
        <v>0.95</v>
      </c>
      <c r="I959" s="4">
        <v>0</v>
      </c>
    </row>
    <row r="960" spans="1:9" x14ac:dyDescent="0.2">
      <c r="A960" s="2">
        <v>15</v>
      </c>
      <c r="B960" s="1" t="s">
        <v>158</v>
      </c>
      <c r="C960" s="4">
        <v>19</v>
      </c>
      <c r="D960" s="8">
        <v>1.53</v>
      </c>
      <c r="E960" s="4">
        <v>11</v>
      </c>
      <c r="F960" s="8">
        <v>2.17</v>
      </c>
      <c r="G960" s="4">
        <v>8</v>
      </c>
      <c r="H960" s="8">
        <v>1.08</v>
      </c>
      <c r="I960" s="4">
        <v>0</v>
      </c>
    </row>
    <row r="961" spans="1:9" x14ac:dyDescent="0.2">
      <c r="A961" s="2">
        <v>16</v>
      </c>
      <c r="B961" s="1" t="s">
        <v>167</v>
      </c>
      <c r="C961" s="4">
        <v>18</v>
      </c>
      <c r="D961" s="8">
        <v>1.45</v>
      </c>
      <c r="E961" s="4">
        <v>4</v>
      </c>
      <c r="F961" s="8">
        <v>0.79</v>
      </c>
      <c r="G961" s="4">
        <v>14</v>
      </c>
      <c r="H961" s="8">
        <v>1.9</v>
      </c>
      <c r="I961" s="4">
        <v>0</v>
      </c>
    </row>
    <row r="962" spans="1:9" x14ac:dyDescent="0.2">
      <c r="A962" s="2">
        <v>17</v>
      </c>
      <c r="B962" s="1" t="s">
        <v>206</v>
      </c>
      <c r="C962" s="4">
        <v>16</v>
      </c>
      <c r="D962" s="8">
        <v>1.29</v>
      </c>
      <c r="E962" s="4">
        <v>3</v>
      </c>
      <c r="F962" s="8">
        <v>0.59</v>
      </c>
      <c r="G962" s="4">
        <v>13</v>
      </c>
      <c r="H962" s="8">
        <v>1.76</v>
      </c>
      <c r="I962" s="4">
        <v>0</v>
      </c>
    </row>
    <row r="963" spans="1:9" x14ac:dyDescent="0.2">
      <c r="A963" s="2">
        <v>17</v>
      </c>
      <c r="B963" s="1" t="s">
        <v>208</v>
      </c>
      <c r="C963" s="4">
        <v>16</v>
      </c>
      <c r="D963" s="8">
        <v>1.29</v>
      </c>
      <c r="E963" s="4">
        <v>3</v>
      </c>
      <c r="F963" s="8">
        <v>0.59</v>
      </c>
      <c r="G963" s="4">
        <v>13</v>
      </c>
      <c r="H963" s="8">
        <v>1.76</v>
      </c>
      <c r="I963" s="4">
        <v>0</v>
      </c>
    </row>
    <row r="964" spans="1:9" x14ac:dyDescent="0.2">
      <c r="A964" s="2">
        <v>17</v>
      </c>
      <c r="B964" s="1" t="s">
        <v>221</v>
      </c>
      <c r="C964" s="4">
        <v>16</v>
      </c>
      <c r="D964" s="8">
        <v>1.29</v>
      </c>
      <c r="E964" s="4">
        <v>3</v>
      </c>
      <c r="F964" s="8">
        <v>0.59</v>
      </c>
      <c r="G964" s="4">
        <v>13</v>
      </c>
      <c r="H964" s="8">
        <v>1.76</v>
      </c>
      <c r="I964" s="4">
        <v>0</v>
      </c>
    </row>
    <row r="965" spans="1:9" x14ac:dyDescent="0.2">
      <c r="A965" s="2">
        <v>17</v>
      </c>
      <c r="B965" s="1" t="s">
        <v>166</v>
      </c>
      <c r="C965" s="4">
        <v>16</v>
      </c>
      <c r="D965" s="8">
        <v>1.29</v>
      </c>
      <c r="E965" s="4">
        <v>0</v>
      </c>
      <c r="F965" s="8">
        <v>0</v>
      </c>
      <c r="G965" s="4">
        <v>16</v>
      </c>
      <c r="H965" s="8">
        <v>2.17</v>
      </c>
      <c r="I965" s="4">
        <v>0</v>
      </c>
    </row>
    <row r="966" spans="1:9" x14ac:dyDescent="0.2">
      <c r="A966" s="1"/>
      <c r="C966" s="4"/>
      <c r="D966" s="8"/>
      <c r="E966" s="4"/>
      <c r="F966" s="8"/>
      <c r="G966" s="4"/>
      <c r="H966" s="8"/>
      <c r="I966" s="4"/>
    </row>
    <row r="967" spans="1:9" x14ac:dyDescent="0.2">
      <c r="A967" s="1" t="s">
        <v>43</v>
      </c>
      <c r="C967" s="4"/>
      <c r="D967" s="8"/>
      <c r="E967" s="4"/>
      <c r="F967" s="8"/>
      <c r="G967" s="4"/>
      <c r="H967" s="8"/>
      <c r="I967" s="4"/>
    </row>
    <row r="968" spans="1:9" x14ac:dyDescent="0.2">
      <c r="A968" s="2">
        <v>1</v>
      </c>
      <c r="B968" s="1" t="s">
        <v>172</v>
      </c>
      <c r="C968" s="4">
        <v>61</v>
      </c>
      <c r="D968" s="8">
        <v>4.1500000000000004</v>
      </c>
      <c r="E968" s="4">
        <v>48</v>
      </c>
      <c r="F968" s="8">
        <v>7.86</v>
      </c>
      <c r="G968" s="4">
        <v>13</v>
      </c>
      <c r="H968" s="8">
        <v>1.54</v>
      </c>
      <c r="I968" s="4">
        <v>0</v>
      </c>
    </row>
    <row r="969" spans="1:9" x14ac:dyDescent="0.2">
      <c r="A969" s="2">
        <v>2</v>
      </c>
      <c r="B969" s="1" t="s">
        <v>162</v>
      </c>
      <c r="C969" s="4">
        <v>50</v>
      </c>
      <c r="D969" s="8">
        <v>3.4</v>
      </c>
      <c r="E969" s="4">
        <v>2</v>
      </c>
      <c r="F969" s="8">
        <v>0.33</v>
      </c>
      <c r="G969" s="4">
        <v>48</v>
      </c>
      <c r="H969" s="8">
        <v>5.69</v>
      </c>
      <c r="I969" s="4">
        <v>0</v>
      </c>
    </row>
    <row r="970" spans="1:9" x14ac:dyDescent="0.2">
      <c r="A970" s="2">
        <v>3</v>
      </c>
      <c r="B970" s="1" t="s">
        <v>168</v>
      </c>
      <c r="C970" s="4">
        <v>48</v>
      </c>
      <c r="D970" s="8">
        <v>3.27</v>
      </c>
      <c r="E970" s="4">
        <v>35</v>
      </c>
      <c r="F970" s="8">
        <v>5.73</v>
      </c>
      <c r="G970" s="4">
        <v>13</v>
      </c>
      <c r="H970" s="8">
        <v>1.54</v>
      </c>
      <c r="I970" s="4">
        <v>0</v>
      </c>
    </row>
    <row r="971" spans="1:9" x14ac:dyDescent="0.2">
      <c r="A971" s="2">
        <v>4</v>
      </c>
      <c r="B971" s="1" t="s">
        <v>171</v>
      </c>
      <c r="C971" s="4">
        <v>45</v>
      </c>
      <c r="D971" s="8">
        <v>3.06</v>
      </c>
      <c r="E971" s="4">
        <v>41</v>
      </c>
      <c r="F971" s="8">
        <v>6.71</v>
      </c>
      <c r="G971" s="4">
        <v>4</v>
      </c>
      <c r="H971" s="8">
        <v>0.47</v>
      </c>
      <c r="I971" s="4">
        <v>0</v>
      </c>
    </row>
    <row r="972" spans="1:9" x14ac:dyDescent="0.2">
      <c r="A972" s="2">
        <v>5</v>
      </c>
      <c r="B972" s="1" t="s">
        <v>169</v>
      </c>
      <c r="C972" s="4">
        <v>43</v>
      </c>
      <c r="D972" s="8">
        <v>2.93</v>
      </c>
      <c r="E972" s="4">
        <v>38</v>
      </c>
      <c r="F972" s="8">
        <v>6.22</v>
      </c>
      <c r="G972" s="4">
        <v>5</v>
      </c>
      <c r="H972" s="8">
        <v>0.59</v>
      </c>
      <c r="I972" s="4">
        <v>0</v>
      </c>
    </row>
    <row r="973" spans="1:9" x14ac:dyDescent="0.2">
      <c r="A973" s="2">
        <v>6</v>
      </c>
      <c r="B973" s="1" t="s">
        <v>175</v>
      </c>
      <c r="C973" s="4">
        <v>41</v>
      </c>
      <c r="D973" s="8">
        <v>2.79</v>
      </c>
      <c r="E973" s="4">
        <v>37</v>
      </c>
      <c r="F973" s="8">
        <v>6.06</v>
      </c>
      <c r="G973" s="4">
        <v>4</v>
      </c>
      <c r="H973" s="8">
        <v>0.47</v>
      </c>
      <c r="I973" s="4">
        <v>0</v>
      </c>
    </row>
    <row r="974" spans="1:9" x14ac:dyDescent="0.2">
      <c r="A974" s="2">
        <v>7</v>
      </c>
      <c r="B974" s="1" t="s">
        <v>173</v>
      </c>
      <c r="C974" s="4">
        <v>40</v>
      </c>
      <c r="D974" s="8">
        <v>2.72</v>
      </c>
      <c r="E974" s="4">
        <v>33</v>
      </c>
      <c r="F974" s="8">
        <v>5.4</v>
      </c>
      <c r="G974" s="4">
        <v>7</v>
      </c>
      <c r="H974" s="8">
        <v>0.83</v>
      </c>
      <c r="I974" s="4">
        <v>0</v>
      </c>
    </row>
    <row r="975" spans="1:9" x14ac:dyDescent="0.2">
      <c r="A975" s="2">
        <v>8</v>
      </c>
      <c r="B975" s="1" t="s">
        <v>192</v>
      </c>
      <c r="C975" s="4">
        <v>38</v>
      </c>
      <c r="D975" s="8">
        <v>2.59</v>
      </c>
      <c r="E975" s="4">
        <v>2</v>
      </c>
      <c r="F975" s="8">
        <v>0.33</v>
      </c>
      <c r="G975" s="4">
        <v>36</v>
      </c>
      <c r="H975" s="8">
        <v>4.2699999999999996</v>
      </c>
      <c r="I975" s="4">
        <v>0</v>
      </c>
    </row>
    <row r="976" spans="1:9" x14ac:dyDescent="0.2">
      <c r="A976" s="2">
        <v>8</v>
      </c>
      <c r="B976" s="1" t="s">
        <v>201</v>
      </c>
      <c r="C976" s="4">
        <v>38</v>
      </c>
      <c r="D976" s="8">
        <v>2.59</v>
      </c>
      <c r="E976" s="4">
        <v>6</v>
      </c>
      <c r="F976" s="8">
        <v>0.98</v>
      </c>
      <c r="G976" s="4">
        <v>32</v>
      </c>
      <c r="H976" s="8">
        <v>3.79</v>
      </c>
      <c r="I976" s="4">
        <v>0</v>
      </c>
    </row>
    <row r="977" spans="1:9" x14ac:dyDescent="0.2">
      <c r="A977" s="2">
        <v>10</v>
      </c>
      <c r="B977" s="1" t="s">
        <v>226</v>
      </c>
      <c r="C977" s="4">
        <v>36</v>
      </c>
      <c r="D977" s="8">
        <v>2.4500000000000002</v>
      </c>
      <c r="E977" s="4">
        <v>9</v>
      </c>
      <c r="F977" s="8">
        <v>1.47</v>
      </c>
      <c r="G977" s="4">
        <v>27</v>
      </c>
      <c r="H977" s="8">
        <v>3.2</v>
      </c>
      <c r="I977" s="4">
        <v>0</v>
      </c>
    </row>
    <row r="978" spans="1:9" x14ac:dyDescent="0.2">
      <c r="A978" s="2">
        <v>11</v>
      </c>
      <c r="B978" s="1" t="s">
        <v>159</v>
      </c>
      <c r="C978" s="4">
        <v>35</v>
      </c>
      <c r="D978" s="8">
        <v>2.38</v>
      </c>
      <c r="E978" s="4">
        <v>20</v>
      </c>
      <c r="F978" s="8">
        <v>3.27</v>
      </c>
      <c r="G978" s="4">
        <v>15</v>
      </c>
      <c r="H978" s="8">
        <v>1.78</v>
      </c>
      <c r="I978" s="4">
        <v>0</v>
      </c>
    </row>
    <row r="979" spans="1:9" x14ac:dyDescent="0.2">
      <c r="A979" s="2">
        <v>12</v>
      </c>
      <c r="B979" s="1" t="s">
        <v>200</v>
      </c>
      <c r="C979" s="4">
        <v>30</v>
      </c>
      <c r="D979" s="8">
        <v>2.04</v>
      </c>
      <c r="E979" s="4">
        <v>10</v>
      </c>
      <c r="F979" s="8">
        <v>1.64</v>
      </c>
      <c r="G979" s="4">
        <v>20</v>
      </c>
      <c r="H979" s="8">
        <v>2.37</v>
      </c>
      <c r="I979" s="4">
        <v>0</v>
      </c>
    </row>
    <row r="980" spans="1:9" x14ac:dyDescent="0.2">
      <c r="A980" s="2">
        <v>13</v>
      </c>
      <c r="B980" s="1" t="s">
        <v>223</v>
      </c>
      <c r="C980" s="4">
        <v>28</v>
      </c>
      <c r="D980" s="8">
        <v>1.91</v>
      </c>
      <c r="E980" s="4">
        <v>6</v>
      </c>
      <c r="F980" s="8">
        <v>0.98</v>
      </c>
      <c r="G980" s="4">
        <v>22</v>
      </c>
      <c r="H980" s="8">
        <v>2.61</v>
      </c>
      <c r="I980" s="4">
        <v>0</v>
      </c>
    </row>
    <row r="981" spans="1:9" x14ac:dyDescent="0.2">
      <c r="A981" s="2">
        <v>14</v>
      </c>
      <c r="B981" s="1" t="s">
        <v>170</v>
      </c>
      <c r="C981" s="4">
        <v>27</v>
      </c>
      <c r="D981" s="8">
        <v>1.84</v>
      </c>
      <c r="E981" s="4">
        <v>27</v>
      </c>
      <c r="F981" s="8">
        <v>4.42</v>
      </c>
      <c r="G981" s="4">
        <v>0</v>
      </c>
      <c r="H981" s="8">
        <v>0</v>
      </c>
      <c r="I981" s="4">
        <v>0</v>
      </c>
    </row>
    <row r="982" spans="1:9" x14ac:dyDescent="0.2">
      <c r="A982" s="2">
        <v>15</v>
      </c>
      <c r="B982" s="1" t="s">
        <v>195</v>
      </c>
      <c r="C982" s="4">
        <v>26</v>
      </c>
      <c r="D982" s="8">
        <v>1.77</v>
      </c>
      <c r="E982" s="4">
        <v>11</v>
      </c>
      <c r="F982" s="8">
        <v>1.8</v>
      </c>
      <c r="G982" s="4">
        <v>15</v>
      </c>
      <c r="H982" s="8">
        <v>1.78</v>
      </c>
      <c r="I982" s="4">
        <v>0</v>
      </c>
    </row>
    <row r="983" spans="1:9" x14ac:dyDescent="0.2">
      <c r="A983" s="2">
        <v>15</v>
      </c>
      <c r="B983" s="1" t="s">
        <v>158</v>
      </c>
      <c r="C983" s="4">
        <v>26</v>
      </c>
      <c r="D983" s="8">
        <v>1.77</v>
      </c>
      <c r="E983" s="4">
        <v>14</v>
      </c>
      <c r="F983" s="8">
        <v>2.29</v>
      </c>
      <c r="G983" s="4">
        <v>12</v>
      </c>
      <c r="H983" s="8">
        <v>1.42</v>
      </c>
      <c r="I983" s="4">
        <v>0</v>
      </c>
    </row>
    <row r="984" spans="1:9" x14ac:dyDescent="0.2">
      <c r="A984" s="2">
        <v>15</v>
      </c>
      <c r="B984" s="1" t="s">
        <v>221</v>
      </c>
      <c r="C984" s="4">
        <v>26</v>
      </c>
      <c r="D984" s="8">
        <v>1.77</v>
      </c>
      <c r="E984" s="4">
        <v>13</v>
      </c>
      <c r="F984" s="8">
        <v>2.13</v>
      </c>
      <c r="G984" s="4">
        <v>13</v>
      </c>
      <c r="H984" s="8">
        <v>1.54</v>
      </c>
      <c r="I984" s="4">
        <v>0</v>
      </c>
    </row>
    <row r="985" spans="1:9" x14ac:dyDescent="0.2">
      <c r="A985" s="2">
        <v>18</v>
      </c>
      <c r="B985" s="1" t="s">
        <v>161</v>
      </c>
      <c r="C985" s="4">
        <v>25</v>
      </c>
      <c r="D985" s="8">
        <v>1.7</v>
      </c>
      <c r="E985" s="4">
        <v>1</v>
      </c>
      <c r="F985" s="8">
        <v>0.16</v>
      </c>
      <c r="G985" s="4">
        <v>24</v>
      </c>
      <c r="H985" s="8">
        <v>2.84</v>
      </c>
      <c r="I985" s="4">
        <v>0</v>
      </c>
    </row>
    <row r="986" spans="1:9" x14ac:dyDescent="0.2">
      <c r="A986" s="2">
        <v>18</v>
      </c>
      <c r="B986" s="1" t="s">
        <v>163</v>
      </c>
      <c r="C986" s="4">
        <v>25</v>
      </c>
      <c r="D986" s="8">
        <v>1.7</v>
      </c>
      <c r="E986" s="4">
        <v>0</v>
      </c>
      <c r="F986" s="8">
        <v>0</v>
      </c>
      <c r="G986" s="4">
        <v>25</v>
      </c>
      <c r="H986" s="8">
        <v>2.96</v>
      </c>
      <c r="I986" s="4">
        <v>0</v>
      </c>
    </row>
    <row r="987" spans="1:9" x14ac:dyDescent="0.2">
      <c r="A987" s="2">
        <v>20</v>
      </c>
      <c r="B987" s="1" t="s">
        <v>206</v>
      </c>
      <c r="C987" s="4">
        <v>24</v>
      </c>
      <c r="D987" s="8">
        <v>1.63</v>
      </c>
      <c r="E987" s="4">
        <v>1</v>
      </c>
      <c r="F987" s="8">
        <v>0.16</v>
      </c>
      <c r="G987" s="4">
        <v>23</v>
      </c>
      <c r="H987" s="8">
        <v>2.73</v>
      </c>
      <c r="I987" s="4">
        <v>0</v>
      </c>
    </row>
    <row r="988" spans="1:9" x14ac:dyDescent="0.2">
      <c r="A988" s="2">
        <v>20</v>
      </c>
      <c r="B988" s="1" t="s">
        <v>160</v>
      </c>
      <c r="C988" s="4">
        <v>24</v>
      </c>
      <c r="D988" s="8">
        <v>1.63</v>
      </c>
      <c r="E988" s="4">
        <v>1</v>
      </c>
      <c r="F988" s="8">
        <v>0.16</v>
      </c>
      <c r="G988" s="4">
        <v>23</v>
      </c>
      <c r="H988" s="8">
        <v>2.73</v>
      </c>
      <c r="I988" s="4">
        <v>0</v>
      </c>
    </row>
    <row r="989" spans="1:9" x14ac:dyDescent="0.2">
      <c r="A989" s="1"/>
      <c r="C989" s="4"/>
      <c r="D989" s="8"/>
      <c r="E989" s="4"/>
      <c r="F989" s="8"/>
      <c r="G989" s="4"/>
      <c r="H989" s="8"/>
      <c r="I989" s="4"/>
    </row>
    <row r="990" spans="1:9" x14ac:dyDescent="0.2">
      <c r="A990" s="1" t="s">
        <v>44</v>
      </c>
      <c r="C990" s="4"/>
      <c r="D990" s="8"/>
      <c r="E990" s="4"/>
      <c r="F990" s="8"/>
      <c r="G990" s="4"/>
      <c r="H990" s="8"/>
      <c r="I990" s="4"/>
    </row>
    <row r="991" spans="1:9" x14ac:dyDescent="0.2">
      <c r="A991" s="2">
        <v>1</v>
      </c>
      <c r="B991" s="1" t="s">
        <v>172</v>
      </c>
      <c r="C991" s="4">
        <v>62</v>
      </c>
      <c r="D991" s="8">
        <v>5.72</v>
      </c>
      <c r="E991" s="4">
        <v>47</v>
      </c>
      <c r="F991" s="8">
        <v>9.27</v>
      </c>
      <c r="G991" s="4">
        <v>15</v>
      </c>
      <c r="H991" s="8">
        <v>2.7</v>
      </c>
      <c r="I991" s="4">
        <v>0</v>
      </c>
    </row>
    <row r="992" spans="1:9" x14ac:dyDescent="0.2">
      <c r="A992" s="2">
        <v>2</v>
      </c>
      <c r="B992" s="1" t="s">
        <v>162</v>
      </c>
      <c r="C992" s="4">
        <v>48</v>
      </c>
      <c r="D992" s="8">
        <v>4.43</v>
      </c>
      <c r="E992" s="4">
        <v>15</v>
      </c>
      <c r="F992" s="8">
        <v>2.96</v>
      </c>
      <c r="G992" s="4">
        <v>33</v>
      </c>
      <c r="H992" s="8">
        <v>5.95</v>
      </c>
      <c r="I992" s="4">
        <v>0</v>
      </c>
    </row>
    <row r="993" spans="1:9" x14ac:dyDescent="0.2">
      <c r="A993" s="2">
        <v>3</v>
      </c>
      <c r="B993" s="1" t="s">
        <v>173</v>
      </c>
      <c r="C993" s="4">
        <v>47</v>
      </c>
      <c r="D993" s="8">
        <v>4.34</v>
      </c>
      <c r="E993" s="4">
        <v>36</v>
      </c>
      <c r="F993" s="8">
        <v>7.1</v>
      </c>
      <c r="G993" s="4">
        <v>11</v>
      </c>
      <c r="H993" s="8">
        <v>1.98</v>
      </c>
      <c r="I993" s="4">
        <v>0</v>
      </c>
    </row>
    <row r="994" spans="1:9" x14ac:dyDescent="0.2">
      <c r="A994" s="2">
        <v>4</v>
      </c>
      <c r="B994" s="1" t="s">
        <v>169</v>
      </c>
      <c r="C994" s="4">
        <v>39</v>
      </c>
      <c r="D994" s="8">
        <v>3.6</v>
      </c>
      <c r="E994" s="4">
        <v>29</v>
      </c>
      <c r="F994" s="8">
        <v>5.72</v>
      </c>
      <c r="G994" s="4">
        <v>10</v>
      </c>
      <c r="H994" s="8">
        <v>1.8</v>
      </c>
      <c r="I994" s="4">
        <v>0</v>
      </c>
    </row>
    <row r="995" spans="1:9" x14ac:dyDescent="0.2">
      <c r="A995" s="2">
        <v>5</v>
      </c>
      <c r="B995" s="1" t="s">
        <v>171</v>
      </c>
      <c r="C995" s="4">
        <v>37</v>
      </c>
      <c r="D995" s="8">
        <v>3.42</v>
      </c>
      <c r="E995" s="4">
        <v>35</v>
      </c>
      <c r="F995" s="8">
        <v>6.9</v>
      </c>
      <c r="G995" s="4">
        <v>2</v>
      </c>
      <c r="H995" s="8">
        <v>0.36</v>
      </c>
      <c r="I995" s="4">
        <v>0</v>
      </c>
    </row>
    <row r="996" spans="1:9" x14ac:dyDescent="0.2">
      <c r="A996" s="2">
        <v>6</v>
      </c>
      <c r="B996" s="1" t="s">
        <v>192</v>
      </c>
      <c r="C996" s="4">
        <v>32</v>
      </c>
      <c r="D996" s="8">
        <v>2.95</v>
      </c>
      <c r="E996" s="4">
        <v>6</v>
      </c>
      <c r="F996" s="8">
        <v>1.18</v>
      </c>
      <c r="G996" s="4">
        <v>26</v>
      </c>
      <c r="H996" s="8">
        <v>4.68</v>
      </c>
      <c r="I996" s="4">
        <v>0</v>
      </c>
    </row>
    <row r="997" spans="1:9" x14ac:dyDescent="0.2">
      <c r="A997" s="2">
        <v>7</v>
      </c>
      <c r="B997" s="1" t="s">
        <v>175</v>
      </c>
      <c r="C997" s="4">
        <v>31</v>
      </c>
      <c r="D997" s="8">
        <v>2.86</v>
      </c>
      <c r="E997" s="4">
        <v>29</v>
      </c>
      <c r="F997" s="8">
        <v>5.72</v>
      </c>
      <c r="G997" s="4">
        <v>2</v>
      </c>
      <c r="H997" s="8">
        <v>0.36</v>
      </c>
      <c r="I997" s="4">
        <v>0</v>
      </c>
    </row>
    <row r="998" spans="1:9" x14ac:dyDescent="0.2">
      <c r="A998" s="2">
        <v>8</v>
      </c>
      <c r="B998" s="1" t="s">
        <v>168</v>
      </c>
      <c r="C998" s="4">
        <v>23</v>
      </c>
      <c r="D998" s="8">
        <v>2.12</v>
      </c>
      <c r="E998" s="4">
        <v>18</v>
      </c>
      <c r="F998" s="8">
        <v>3.55</v>
      </c>
      <c r="G998" s="4">
        <v>5</v>
      </c>
      <c r="H998" s="8">
        <v>0.9</v>
      </c>
      <c r="I998" s="4">
        <v>0</v>
      </c>
    </row>
    <row r="999" spans="1:9" x14ac:dyDescent="0.2">
      <c r="A999" s="2">
        <v>9</v>
      </c>
      <c r="B999" s="1" t="s">
        <v>197</v>
      </c>
      <c r="C999" s="4">
        <v>22</v>
      </c>
      <c r="D999" s="8">
        <v>2.0299999999999998</v>
      </c>
      <c r="E999" s="4">
        <v>12</v>
      </c>
      <c r="F999" s="8">
        <v>2.37</v>
      </c>
      <c r="G999" s="4">
        <v>10</v>
      </c>
      <c r="H999" s="8">
        <v>1.8</v>
      </c>
      <c r="I999" s="4">
        <v>0</v>
      </c>
    </row>
    <row r="1000" spans="1:9" x14ac:dyDescent="0.2">
      <c r="A1000" s="2">
        <v>10</v>
      </c>
      <c r="B1000" s="1" t="s">
        <v>159</v>
      </c>
      <c r="C1000" s="4">
        <v>21</v>
      </c>
      <c r="D1000" s="8">
        <v>1.94</v>
      </c>
      <c r="E1000" s="4">
        <v>17</v>
      </c>
      <c r="F1000" s="8">
        <v>3.35</v>
      </c>
      <c r="G1000" s="4">
        <v>4</v>
      </c>
      <c r="H1000" s="8">
        <v>0.72</v>
      </c>
      <c r="I1000" s="4">
        <v>0</v>
      </c>
    </row>
    <row r="1001" spans="1:9" x14ac:dyDescent="0.2">
      <c r="A1001" s="2">
        <v>11</v>
      </c>
      <c r="B1001" s="1" t="s">
        <v>158</v>
      </c>
      <c r="C1001" s="4">
        <v>20</v>
      </c>
      <c r="D1001" s="8">
        <v>1.85</v>
      </c>
      <c r="E1001" s="4">
        <v>13</v>
      </c>
      <c r="F1001" s="8">
        <v>2.56</v>
      </c>
      <c r="G1001" s="4">
        <v>7</v>
      </c>
      <c r="H1001" s="8">
        <v>1.26</v>
      </c>
      <c r="I1001" s="4">
        <v>0</v>
      </c>
    </row>
    <row r="1002" spans="1:9" x14ac:dyDescent="0.2">
      <c r="A1002" s="2">
        <v>12</v>
      </c>
      <c r="B1002" s="1" t="s">
        <v>201</v>
      </c>
      <c r="C1002" s="4">
        <v>19</v>
      </c>
      <c r="D1002" s="8">
        <v>1.75</v>
      </c>
      <c r="E1002" s="4">
        <v>2</v>
      </c>
      <c r="F1002" s="8">
        <v>0.39</v>
      </c>
      <c r="G1002" s="4">
        <v>17</v>
      </c>
      <c r="H1002" s="8">
        <v>3.06</v>
      </c>
      <c r="I1002" s="4">
        <v>0</v>
      </c>
    </row>
    <row r="1003" spans="1:9" x14ac:dyDescent="0.2">
      <c r="A1003" s="2">
        <v>12</v>
      </c>
      <c r="B1003" s="1" t="s">
        <v>205</v>
      </c>
      <c r="C1003" s="4">
        <v>19</v>
      </c>
      <c r="D1003" s="8">
        <v>1.75</v>
      </c>
      <c r="E1003" s="4">
        <v>17</v>
      </c>
      <c r="F1003" s="8">
        <v>3.35</v>
      </c>
      <c r="G1003" s="4">
        <v>2</v>
      </c>
      <c r="H1003" s="8">
        <v>0.36</v>
      </c>
      <c r="I1003" s="4">
        <v>0</v>
      </c>
    </row>
    <row r="1004" spans="1:9" x14ac:dyDescent="0.2">
      <c r="A1004" s="2">
        <v>12</v>
      </c>
      <c r="B1004" s="1" t="s">
        <v>160</v>
      </c>
      <c r="C1004" s="4">
        <v>19</v>
      </c>
      <c r="D1004" s="8">
        <v>1.75</v>
      </c>
      <c r="E1004" s="4">
        <v>1</v>
      </c>
      <c r="F1004" s="8">
        <v>0.2</v>
      </c>
      <c r="G1004" s="4">
        <v>18</v>
      </c>
      <c r="H1004" s="8">
        <v>3.24</v>
      </c>
      <c r="I1004" s="4">
        <v>0</v>
      </c>
    </row>
    <row r="1005" spans="1:9" x14ac:dyDescent="0.2">
      <c r="A1005" s="2">
        <v>12</v>
      </c>
      <c r="B1005" s="1" t="s">
        <v>170</v>
      </c>
      <c r="C1005" s="4">
        <v>19</v>
      </c>
      <c r="D1005" s="8">
        <v>1.75</v>
      </c>
      <c r="E1005" s="4">
        <v>19</v>
      </c>
      <c r="F1005" s="8">
        <v>3.75</v>
      </c>
      <c r="G1005" s="4">
        <v>0</v>
      </c>
      <c r="H1005" s="8">
        <v>0</v>
      </c>
      <c r="I1005" s="4">
        <v>0</v>
      </c>
    </row>
    <row r="1006" spans="1:9" x14ac:dyDescent="0.2">
      <c r="A1006" s="2">
        <v>12</v>
      </c>
      <c r="B1006" s="1" t="s">
        <v>222</v>
      </c>
      <c r="C1006" s="4">
        <v>19</v>
      </c>
      <c r="D1006" s="8">
        <v>1.75</v>
      </c>
      <c r="E1006" s="4">
        <v>2</v>
      </c>
      <c r="F1006" s="8">
        <v>0.39</v>
      </c>
      <c r="G1006" s="4">
        <v>1</v>
      </c>
      <c r="H1006" s="8">
        <v>0.18</v>
      </c>
      <c r="I1006" s="4">
        <v>0</v>
      </c>
    </row>
    <row r="1007" spans="1:9" x14ac:dyDescent="0.2">
      <c r="A1007" s="2">
        <v>17</v>
      </c>
      <c r="B1007" s="1" t="s">
        <v>198</v>
      </c>
      <c r="C1007" s="4">
        <v>18</v>
      </c>
      <c r="D1007" s="8">
        <v>1.66</v>
      </c>
      <c r="E1007" s="4">
        <v>6</v>
      </c>
      <c r="F1007" s="8">
        <v>1.18</v>
      </c>
      <c r="G1007" s="4">
        <v>12</v>
      </c>
      <c r="H1007" s="8">
        <v>2.16</v>
      </c>
      <c r="I1007" s="4">
        <v>0</v>
      </c>
    </row>
    <row r="1008" spans="1:9" x14ac:dyDescent="0.2">
      <c r="A1008" s="2">
        <v>18</v>
      </c>
      <c r="B1008" s="1" t="s">
        <v>206</v>
      </c>
      <c r="C1008" s="4">
        <v>17</v>
      </c>
      <c r="D1008" s="8">
        <v>1.57</v>
      </c>
      <c r="E1008" s="4">
        <v>4</v>
      </c>
      <c r="F1008" s="8">
        <v>0.79</v>
      </c>
      <c r="G1008" s="4">
        <v>13</v>
      </c>
      <c r="H1008" s="8">
        <v>2.34</v>
      </c>
      <c r="I1008" s="4">
        <v>0</v>
      </c>
    </row>
    <row r="1009" spans="1:9" x14ac:dyDescent="0.2">
      <c r="A1009" s="2">
        <v>18</v>
      </c>
      <c r="B1009" s="1" t="s">
        <v>200</v>
      </c>
      <c r="C1009" s="4">
        <v>17</v>
      </c>
      <c r="D1009" s="8">
        <v>1.57</v>
      </c>
      <c r="E1009" s="4">
        <v>3</v>
      </c>
      <c r="F1009" s="8">
        <v>0.59</v>
      </c>
      <c r="G1009" s="4">
        <v>14</v>
      </c>
      <c r="H1009" s="8">
        <v>2.52</v>
      </c>
      <c r="I1009" s="4">
        <v>0</v>
      </c>
    </row>
    <row r="1010" spans="1:9" x14ac:dyDescent="0.2">
      <c r="A1010" s="2">
        <v>18</v>
      </c>
      <c r="B1010" s="1" t="s">
        <v>195</v>
      </c>
      <c r="C1010" s="4">
        <v>17</v>
      </c>
      <c r="D1010" s="8">
        <v>1.57</v>
      </c>
      <c r="E1010" s="4">
        <v>3</v>
      </c>
      <c r="F1010" s="8">
        <v>0.59</v>
      </c>
      <c r="G1010" s="4">
        <v>14</v>
      </c>
      <c r="H1010" s="8">
        <v>2.52</v>
      </c>
      <c r="I1010" s="4">
        <v>0</v>
      </c>
    </row>
    <row r="1011" spans="1:9" x14ac:dyDescent="0.2">
      <c r="A1011" s="1"/>
      <c r="C1011" s="4"/>
      <c r="D1011" s="8"/>
      <c r="E1011" s="4"/>
      <c r="F1011" s="8"/>
      <c r="G1011" s="4"/>
      <c r="H1011" s="8"/>
      <c r="I1011" s="4"/>
    </row>
    <row r="1012" spans="1:9" x14ac:dyDescent="0.2">
      <c r="A1012" s="1" t="s">
        <v>45</v>
      </c>
      <c r="C1012" s="4"/>
      <c r="D1012" s="8"/>
      <c r="E1012" s="4"/>
      <c r="F1012" s="8"/>
      <c r="G1012" s="4"/>
      <c r="H1012" s="8"/>
      <c r="I1012" s="4"/>
    </row>
    <row r="1013" spans="1:9" x14ac:dyDescent="0.2">
      <c r="A1013" s="2">
        <v>1</v>
      </c>
      <c r="B1013" s="1" t="s">
        <v>162</v>
      </c>
      <c r="C1013" s="4">
        <v>107</v>
      </c>
      <c r="D1013" s="8">
        <v>5.84</v>
      </c>
      <c r="E1013" s="4">
        <v>45</v>
      </c>
      <c r="F1013" s="8">
        <v>6.29</v>
      </c>
      <c r="G1013" s="4">
        <v>62</v>
      </c>
      <c r="H1013" s="8">
        <v>5.6</v>
      </c>
      <c r="I1013" s="4">
        <v>0</v>
      </c>
    </row>
    <row r="1014" spans="1:9" x14ac:dyDescent="0.2">
      <c r="A1014" s="2">
        <v>2</v>
      </c>
      <c r="B1014" s="1" t="s">
        <v>172</v>
      </c>
      <c r="C1014" s="4">
        <v>71</v>
      </c>
      <c r="D1014" s="8">
        <v>3.88</v>
      </c>
      <c r="E1014" s="4">
        <v>52</v>
      </c>
      <c r="F1014" s="8">
        <v>7.27</v>
      </c>
      <c r="G1014" s="4">
        <v>19</v>
      </c>
      <c r="H1014" s="8">
        <v>1.71</v>
      </c>
      <c r="I1014" s="4">
        <v>0</v>
      </c>
    </row>
    <row r="1015" spans="1:9" x14ac:dyDescent="0.2">
      <c r="A1015" s="2">
        <v>3</v>
      </c>
      <c r="B1015" s="1" t="s">
        <v>173</v>
      </c>
      <c r="C1015" s="4">
        <v>70</v>
      </c>
      <c r="D1015" s="8">
        <v>3.82</v>
      </c>
      <c r="E1015" s="4">
        <v>52</v>
      </c>
      <c r="F1015" s="8">
        <v>7.27</v>
      </c>
      <c r="G1015" s="4">
        <v>18</v>
      </c>
      <c r="H1015" s="8">
        <v>1.62</v>
      </c>
      <c r="I1015" s="4">
        <v>0</v>
      </c>
    </row>
    <row r="1016" spans="1:9" x14ac:dyDescent="0.2">
      <c r="A1016" s="2">
        <v>4</v>
      </c>
      <c r="B1016" s="1" t="s">
        <v>175</v>
      </c>
      <c r="C1016" s="4">
        <v>56</v>
      </c>
      <c r="D1016" s="8">
        <v>3.06</v>
      </c>
      <c r="E1016" s="4">
        <v>49</v>
      </c>
      <c r="F1016" s="8">
        <v>6.85</v>
      </c>
      <c r="G1016" s="4">
        <v>7</v>
      </c>
      <c r="H1016" s="8">
        <v>0.63</v>
      </c>
      <c r="I1016" s="4">
        <v>0</v>
      </c>
    </row>
    <row r="1017" spans="1:9" x14ac:dyDescent="0.2">
      <c r="A1017" s="2">
        <v>5</v>
      </c>
      <c r="B1017" s="1" t="s">
        <v>163</v>
      </c>
      <c r="C1017" s="4">
        <v>48</v>
      </c>
      <c r="D1017" s="8">
        <v>2.62</v>
      </c>
      <c r="E1017" s="4">
        <v>4</v>
      </c>
      <c r="F1017" s="8">
        <v>0.56000000000000005</v>
      </c>
      <c r="G1017" s="4">
        <v>44</v>
      </c>
      <c r="H1017" s="8">
        <v>3.97</v>
      </c>
      <c r="I1017" s="4">
        <v>0</v>
      </c>
    </row>
    <row r="1018" spans="1:9" x14ac:dyDescent="0.2">
      <c r="A1018" s="2">
        <v>6</v>
      </c>
      <c r="B1018" s="1" t="s">
        <v>201</v>
      </c>
      <c r="C1018" s="4">
        <v>46</v>
      </c>
      <c r="D1018" s="8">
        <v>2.5099999999999998</v>
      </c>
      <c r="E1018" s="4">
        <v>11</v>
      </c>
      <c r="F1018" s="8">
        <v>1.54</v>
      </c>
      <c r="G1018" s="4">
        <v>35</v>
      </c>
      <c r="H1018" s="8">
        <v>3.16</v>
      </c>
      <c r="I1018" s="4">
        <v>0</v>
      </c>
    </row>
    <row r="1019" spans="1:9" x14ac:dyDescent="0.2">
      <c r="A1019" s="2">
        <v>7</v>
      </c>
      <c r="B1019" s="1" t="s">
        <v>192</v>
      </c>
      <c r="C1019" s="4">
        <v>43</v>
      </c>
      <c r="D1019" s="8">
        <v>2.35</v>
      </c>
      <c r="E1019" s="4">
        <v>10</v>
      </c>
      <c r="F1019" s="8">
        <v>1.4</v>
      </c>
      <c r="G1019" s="4">
        <v>33</v>
      </c>
      <c r="H1019" s="8">
        <v>2.98</v>
      </c>
      <c r="I1019" s="4">
        <v>0</v>
      </c>
    </row>
    <row r="1020" spans="1:9" x14ac:dyDescent="0.2">
      <c r="A1020" s="2">
        <v>8</v>
      </c>
      <c r="B1020" s="1" t="s">
        <v>200</v>
      </c>
      <c r="C1020" s="4">
        <v>41</v>
      </c>
      <c r="D1020" s="8">
        <v>2.2400000000000002</v>
      </c>
      <c r="E1020" s="4">
        <v>8</v>
      </c>
      <c r="F1020" s="8">
        <v>1.1200000000000001</v>
      </c>
      <c r="G1020" s="4">
        <v>33</v>
      </c>
      <c r="H1020" s="8">
        <v>2.98</v>
      </c>
      <c r="I1020" s="4">
        <v>0</v>
      </c>
    </row>
    <row r="1021" spans="1:9" x14ac:dyDescent="0.2">
      <c r="A1021" s="2">
        <v>9</v>
      </c>
      <c r="B1021" s="1" t="s">
        <v>197</v>
      </c>
      <c r="C1021" s="4">
        <v>39</v>
      </c>
      <c r="D1021" s="8">
        <v>2.13</v>
      </c>
      <c r="E1021" s="4">
        <v>15</v>
      </c>
      <c r="F1021" s="8">
        <v>2.1</v>
      </c>
      <c r="G1021" s="4">
        <v>24</v>
      </c>
      <c r="H1021" s="8">
        <v>2.17</v>
      </c>
      <c r="I1021" s="4">
        <v>0</v>
      </c>
    </row>
    <row r="1022" spans="1:9" x14ac:dyDescent="0.2">
      <c r="A1022" s="2">
        <v>10</v>
      </c>
      <c r="B1022" s="1" t="s">
        <v>171</v>
      </c>
      <c r="C1022" s="4">
        <v>38</v>
      </c>
      <c r="D1022" s="8">
        <v>2.08</v>
      </c>
      <c r="E1022" s="4">
        <v>34</v>
      </c>
      <c r="F1022" s="8">
        <v>4.76</v>
      </c>
      <c r="G1022" s="4">
        <v>4</v>
      </c>
      <c r="H1022" s="8">
        <v>0.36</v>
      </c>
      <c r="I1022" s="4">
        <v>0</v>
      </c>
    </row>
    <row r="1023" spans="1:9" x14ac:dyDescent="0.2">
      <c r="A1023" s="2">
        <v>11</v>
      </c>
      <c r="B1023" s="1" t="s">
        <v>168</v>
      </c>
      <c r="C1023" s="4">
        <v>37</v>
      </c>
      <c r="D1023" s="8">
        <v>2.02</v>
      </c>
      <c r="E1023" s="4">
        <v>24</v>
      </c>
      <c r="F1023" s="8">
        <v>3.36</v>
      </c>
      <c r="G1023" s="4">
        <v>13</v>
      </c>
      <c r="H1023" s="8">
        <v>1.17</v>
      </c>
      <c r="I1023" s="4">
        <v>0</v>
      </c>
    </row>
    <row r="1024" spans="1:9" x14ac:dyDescent="0.2">
      <c r="A1024" s="2">
        <v>12</v>
      </c>
      <c r="B1024" s="1" t="s">
        <v>208</v>
      </c>
      <c r="C1024" s="4">
        <v>34</v>
      </c>
      <c r="D1024" s="8">
        <v>1.86</v>
      </c>
      <c r="E1024" s="4">
        <v>6</v>
      </c>
      <c r="F1024" s="8">
        <v>0.84</v>
      </c>
      <c r="G1024" s="4">
        <v>28</v>
      </c>
      <c r="H1024" s="8">
        <v>2.5299999999999998</v>
      </c>
      <c r="I1024" s="4">
        <v>0</v>
      </c>
    </row>
    <row r="1025" spans="1:9" x14ac:dyDescent="0.2">
      <c r="A1025" s="2">
        <v>13</v>
      </c>
      <c r="B1025" s="1" t="s">
        <v>169</v>
      </c>
      <c r="C1025" s="4">
        <v>32</v>
      </c>
      <c r="D1025" s="8">
        <v>1.75</v>
      </c>
      <c r="E1025" s="4">
        <v>28</v>
      </c>
      <c r="F1025" s="8">
        <v>3.92</v>
      </c>
      <c r="G1025" s="4">
        <v>4</v>
      </c>
      <c r="H1025" s="8">
        <v>0.36</v>
      </c>
      <c r="I1025" s="4">
        <v>0</v>
      </c>
    </row>
    <row r="1026" spans="1:9" x14ac:dyDescent="0.2">
      <c r="A1026" s="2">
        <v>14</v>
      </c>
      <c r="B1026" s="1" t="s">
        <v>159</v>
      </c>
      <c r="C1026" s="4">
        <v>30</v>
      </c>
      <c r="D1026" s="8">
        <v>1.64</v>
      </c>
      <c r="E1026" s="4">
        <v>18</v>
      </c>
      <c r="F1026" s="8">
        <v>2.52</v>
      </c>
      <c r="G1026" s="4">
        <v>12</v>
      </c>
      <c r="H1026" s="8">
        <v>1.08</v>
      </c>
      <c r="I1026" s="4">
        <v>0</v>
      </c>
    </row>
    <row r="1027" spans="1:9" x14ac:dyDescent="0.2">
      <c r="A1027" s="2">
        <v>14</v>
      </c>
      <c r="B1027" s="1" t="s">
        <v>161</v>
      </c>
      <c r="C1027" s="4">
        <v>30</v>
      </c>
      <c r="D1027" s="8">
        <v>1.64</v>
      </c>
      <c r="E1027" s="4">
        <v>4</v>
      </c>
      <c r="F1027" s="8">
        <v>0.56000000000000005</v>
      </c>
      <c r="G1027" s="4">
        <v>26</v>
      </c>
      <c r="H1027" s="8">
        <v>2.35</v>
      </c>
      <c r="I1027" s="4">
        <v>0</v>
      </c>
    </row>
    <row r="1028" spans="1:9" x14ac:dyDescent="0.2">
      <c r="A1028" s="2">
        <v>14</v>
      </c>
      <c r="B1028" s="1" t="s">
        <v>167</v>
      </c>
      <c r="C1028" s="4">
        <v>30</v>
      </c>
      <c r="D1028" s="8">
        <v>1.64</v>
      </c>
      <c r="E1028" s="4">
        <v>8</v>
      </c>
      <c r="F1028" s="8">
        <v>1.1200000000000001</v>
      </c>
      <c r="G1028" s="4">
        <v>21</v>
      </c>
      <c r="H1028" s="8">
        <v>1.9</v>
      </c>
      <c r="I1028" s="4">
        <v>0</v>
      </c>
    </row>
    <row r="1029" spans="1:9" x14ac:dyDescent="0.2">
      <c r="A1029" s="2">
        <v>17</v>
      </c>
      <c r="B1029" s="1" t="s">
        <v>195</v>
      </c>
      <c r="C1029" s="4">
        <v>29</v>
      </c>
      <c r="D1029" s="8">
        <v>1.58</v>
      </c>
      <c r="E1029" s="4">
        <v>7</v>
      </c>
      <c r="F1029" s="8">
        <v>0.98</v>
      </c>
      <c r="G1029" s="4">
        <v>22</v>
      </c>
      <c r="H1029" s="8">
        <v>1.99</v>
      </c>
      <c r="I1029" s="4">
        <v>0</v>
      </c>
    </row>
    <row r="1030" spans="1:9" x14ac:dyDescent="0.2">
      <c r="A1030" s="2">
        <v>18</v>
      </c>
      <c r="B1030" s="1" t="s">
        <v>206</v>
      </c>
      <c r="C1030" s="4">
        <v>27</v>
      </c>
      <c r="D1030" s="8">
        <v>1.47</v>
      </c>
      <c r="E1030" s="4">
        <v>4</v>
      </c>
      <c r="F1030" s="8">
        <v>0.56000000000000005</v>
      </c>
      <c r="G1030" s="4">
        <v>23</v>
      </c>
      <c r="H1030" s="8">
        <v>2.08</v>
      </c>
      <c r="I1030" s="4">
        <v>0</v>
      </c>
    </row>
    <row r="1031" spans="1:9" x14ac:dyDescent="0.2">
      <c r="A1031" s="2">
        <v>18</v>
      </c>
      <c r="B1031" s="1" t="s">
        <v>226</v>
      </c>
      <c r="C1031" s="4">
        <v>27</v>
      </c>
      <c r="D1031" s="8">
        <v>1.47</v>
      </c>
      <c r="E1031" s="4">
        <v>9</v>
      </c>
      <c r="F1031" s="8">
        <v>1.26</v>
      </c>
      <c r="G1031" s="4">
        <v>18</v>
      </c>
      <c r="H1031" s="8">
        <v>1.62</v>
      </c>
      <c r="I1031" s="4">
        <v>0</v>
      </c>
    </row>
    <row r="1032" spans="1:9" x14ac:dyDescent="0.2">
      <c r="A1032" s="2">
        <v>20</v>
      </c>
      <c r="B1032" s="1" t="s">
        <v>157</v>
      </c>
      <c r="C1032" s="4">
        <v>26</v>
      </c>
      <c r="D1032" s="8">
        <v>1.42</v>
      </c>
      <c r="E1032" s="4">
        <v>0</v>
      </c>
      <c r="F1032" s="8">
        <v>0</v>
      </c>
      <c r="G1032" s="4">
        <v>26</v>
      </c>
      <c r="H1032" s="8">
        <v>2.35</v>
      </c>
      <c r="I1032" s="4">
        <v>0</v>
      </c>
    </row>
    <row r="1033" spans="1:9" x14ac:dyDescent="0.2">
      <c r="A1033" s="2">
        <v>20</v>
      </c>
      <c r="B1033" s="1" t="s">
        <v>225</v>
      </c>
      <c r="C1033" s="4">
        <v>26</v>
      </c>
      <c r="D1033" s="8">
        <v>1.42</v>
      </c>
      <c r="E1033" s="4">
        <v>17</v>
      </c>
      <c r="F1033" s="8">
        <v>2.38</v>
      </c>
      <c r="G1033" s="4">
        <v>9</v>
      </c>
      <c r="H1033" s="8">
        <v>0.81</v>
      </c>
      <c r="I1033" s="4">
        <v>0</v>
      </c>
    </row>
    <row r="1034" spans="1:9" x14ac:dyDescent="0.2">
      <c r="A1034" s="1"/>
      <c r="C1034" s="4"/>
      <c r="D1034" s="8"/>
      <c r="E1034" s="4"/>
      <c r="F1034" s="8"/>
      <c r="G1034" s="4"/>
      <c r="H1034" s="8"/>
      <c r="I1034" s="4"/>
    </row>
    <row r="1035" spans="1:9" x14ac:dyDescent="0.2">
      <c r="A1035" s="1" t="s">
        <v>46</v>
      </c>
      <c r="C1035" s="4"/>
      <c r="D1035" s="8"/>
      <c r="E1035" s="4"/>
      <c r="F1035" s="8"/>
      <c r="G1035" s="4"/>
      <c r="H1035" s="8"/>
      <c r="I1035" s="4"/>
    </row>
    <row r="1036" spans="1:9" x14ac:dyDescent="0.2">
      <c r="A1036" s="2">
        <v>1</v>
      </c>
      <c r="B1036" s="1" t="s">
        <v>201</v>
      </c>
      <c r="C1036" s="4">
        <v>51</v>
      </c>
      <c r="D1036" s="8">
        <v>3.77</v>
      </c>
      <c r="E1036" s="4">
        <v>9</v>
      </c>
      <c r="F1036" s="8">
        <v>1.84</v>
      </c>
      <c r="G1036" s="4">
        <v>42</v>
      </c>
      <c r="H1036" s="8">
        <v>4.91</v>
      </c>
      <c r="I1036" s="4">
        <v>0</v>
      </c>
    </row>
    <row r="1037" spans="1:9" x14ac:dyDescent="0.2">
      <c r="A1037" s="2">
        <v>2</v>
      </c>
      <c r="B1037" s="1" t="s">
        <v>172</v>
      </c>
      <c r="C1037" s="4">
        <v>46</v>
      </c>
      <c r="D1037" s="8">
        <v>3.4</v>
      </c>
      <c r="E1037" s="4">
        <v>38</v>
      </c>
      <c r="F1037" s="8">
        <v>7.77</v>
      </c>
      <c r="G1037" s="4">
        <v>8</v>
      </c>
      <c r="H1037" s="8">
        <v>0.94</v>
      </c>
      <c r="I1037" s="4">
        <v>0</v>
      </c>
    </row>
    <row r="1038" spans="1:9" x14ac:dyDescent="0.2">
      <c r="A1038" s="2">
        <v>3</v>
      </c>
      <c r="B1038" s="1" t="s">
        <v>221</v>
      </c>
      <c r="C1038" s="4">
        <v>45</v>
      </c>
      <c r="D1038" s="8">
        <v>3.32</v>
      </c>
      <c r="E1038" s="4">
        <v>14</v>
      </c>
      <c r="F1038" s="8">
        <v>2.86</v>
      </c>
      <c r="G1038" s="4">
        <v>31</v>
      </c>
      <c r="H1038" s="8">
        <v>3.63</v>
      </c>
      <c r="I1038" s="4">
        <v>0</v>
      </c>
    </row>
    <row r="1039" spans="1:9" x14ac:dyDescent="0.2">
      <c r="A1039" s="2">
        <v>4</v>
      </c>
      <c r="B1039" s="1" t="s">
        <v>208</v>
      </c>
      <c r="C1039" s="4">
        <v>34</v>
      </c>
      <c r="D1039" s="8">
        <v>2.5099999999999998</v>
      </c>
      <c r="E1039" s="4">
        <v>4</v>
      </c>
      <c r="F1039" s="8">
        <v>0.82</v>
      </c>
      <c r="G1039" s="4">
        <v>30</v>
      </c>
      <c r="H1039" s="8">
        <v>3.51</v>
      </c>
      <c r="I1039" s="4">
        <v>0</v>
      </c>
    </row>
    <row r="1040" spans="1:9" x14ac:dyDescent="0.2">
      <c r="A1040" s="2">
        <v>4</v>
      </c>
      <c r="B1040" s="1" t="s">
        <v>192</v>
      </c>
      <c r="C1040" s="4">
        <v>34</v>
      </c>
      <c r="D1040" s="8">
        <v>2.5099999999999998</v>
      </c>
      <c r="E1040" s="4">
        <v>9</v>
      </c>
      <c r="F1040" s="8">
        <v>1.84</v>
      </c>
      <c r="G1040" s="4">
        <v>25</v>
      </c>
      <c r="H1040" s="8">
        <v>2.92</v>
      </c>
      <c r="I1040" s="4">
        <v>0</v>
      </c>
    </row>
    <row r="1041" spans="1:9" x14ac:dyDescent="0.2">
      <c r="A1041" s="2">
        <v>6</v>
      </c>
      <c r="B1041" s="1" t="s">
        <v>200</v>
      </c>
      <c r="C1041" s="4">
        <v>33</v>
      </c>
      <c r="D1041" s="8">
        <v>2.44</v>
      </c>
      <c r="E1041" s="4">
        <v>5</v>
      </c>
      <c r="F1041" s="8">
        <v>1.02</v>
      </c>
      <c r="G1041" s="4">
        <v>28</v>
      </c>
      <c r="H1041" s="8">
        <v>3.27</v>
      </c>
      <c r="I1041" s="4">
        <v>0</v>
      </c>
    </row>
    <row r="1042" spans="1:9" x14ac:dyDescent="0.2">
      <c r="A1042" s="2">
        <v>7</v>
      </c>
      <c r="B1042" s="1" t="s">
        <v>171</v>
      </c>
      <c r="C1042" s="4">
        <v>31</v>
      </c>
      <c r="D1042" s="8">
        <v>2.29</v>
      </c>
      <c r="E1042" s="4">
        <v>28</v>
      </c>
      <c r="F1042" s="8">
        <v>5.73</v>
      </c>
      <c r="G1042" s="4">
        <v>3</v>
      </c>
      <c r="H1042" s="8">
        <v>0.35</v>
      </c>
      <c r="I1042" s="4">
        <v>0</v>
      </c>
    </row>
    <row r="1043" spans="1:9" x14ac:dyDescent="0.2">
      <c r="A1043" s="2">
        <v>8</v>
      </c>
      <c r="B1043" s="1" t="s">
        <v>162</v>
      </c>
      <c r="C1043" s="4">
        <v>30</v>
      </c>
      <c r="D1043" s="8">
        <v>2.2200000000000002</v>
      </c>
      <c r="E1043" s="4">
        <v>2</v>
      </c>
      <c r="F1043" s="8">
        <v>0.41</v>
      </c>
      <c r="G1043" s="4">
        <v>28</v>
      </c>
      <c r="H1043" s="8">
        <v>3.27</v>
      </c>
      <c r="I1043" s="4">
        <v>0</v>
      </c>
    </row>
    <row r="1044" spans="1:9" x14ac:dyDescent="0.2">
      <c r="A1044" s="2">
        <v>9</v>
      </c>
      <c r="B1044" s="1" t="s">
        <v>169</v>
      </c>
      <c r="C1044" s="4">
        <v>28</v>
      </c>
      <c r="D1044" s="8">
        <v>2.0699999999999998</v>
      </c>
      <c r="E1044" s="4">
        <v>27</v>
      </c>
      <c r="F1044" s="8">
        <v>5.52</v>
      </c>
      <c r="G1044" s="4">
        <v>1</v>
      </c>
      <c r="H1044" s="8">
        <v>0.12</v>
      </c>
      <c r="I1044" s="4">
        <v>0</v>
      </c>
    </row>
    <row r="1045" spans="1:9" x14ac:dyDescent="0.2">
      <c r="A1045" s="2">
        <v>9</v>
      </c>
      <c r="B1045" s="1" t="s">
        <v>175</v>
      </c>
      <c r="C1045" s="4">
        <v>28</v>
      </c>
      <c r="D1045" s="8">
        <v>2.0699999999999998</v>
      </c>
      <c r="E1045" s="4">
        <v>27</v>
      </c>
      <c r="F1045" s="8">
        <v>5.52</v>
      </c>
      <c r="G1045" s="4">
        <v>1</v>
      </c>
      <c r="H1045" s="8">
        <v>0.12</v>
      </c>
      <c r="I1045" s="4">
        <v>0</v>
      </c>
    </row>
    <row r="1046" spans="1:9" x14ac:dyDescent="0.2">
      <c r="A1046" s="2">
        <v>11</v>
      </c>
      <c r="B1046" s="1" t="s">
        <v>168</v>
      </c>
      <c r="C1046" s="4">
        <v>27</v>
      </c>
      <c r="D1046" s="8">
        <v>1.99</v>
      </c>
      <c r="E1046" s="4">
        <v>25</v>
      </c>
      <c r="F1046" s="8">
        <v>5.1100000000000003</v>
      </c>
      <c r="G1046" s="4">
        <v>2</v>
      </c>
      <c r="H1046" s="8">
        <v>0.23</v>
      </c>
      <c r="I1046" s="4">
        <v>0</v>
      </c>
    </row>
    <row r="1047" spans="1:9" x14ac:dyDescent="0.2">
      <c r="A1047" s="2">
        <v>11</v>
      </c>
      <c r="B1047" s="1" t="s">
        <v>173</v>
      </c>
      <c r="C1047" s="4">
        <v>27</v>
      </c>
      <c r="D1047" s="8">
        <v>1.99</v>
      </c>
      <c r="E1047" s="4">
        <v>23</v>
      </c>
      <c r="F1047" s="8">
        <v>4.7</v>
      </c>
      <c r="G1047" s="4">
        <v>3</v>
      </c>
      <c r="H1047" s="8">
        <v>0.35</v>
      </c>
      <c r="I1047" s="4">
        <v>1</v>
      </c>
    </row>
    <row r="1048" spans="1:9" x14ac:dyDescent="0.2">
      <c r="A1048" s="2">
        <v>13</v>
      </c>
      <c r="B1048" s="1" t="s">
        <v>206</v>
      </c>
      <c r="C1048" s="4">
        <v>25</v>
      </c>
      <c r="D1048" s="8">
        <v>1.85</v>
      </c>
      <c r="E1048" s="4">
        <v>0</v>
      </c>
      <c r="F1048" s="8">
        <v>0</v>
      </c>
      <c r="G1048" s="4">
        <v>25</v>
      </c>
      <c r="H1048" s="8">
        <v>2.92</v>
      </c>
      <c r="I1048" s="4">
        <v>0</v>
      </c>
    </row>
    <row r="1049" spans="1:9" x14ac:dyDescent="0.2">
      <c r="A1049" s="2">
        <v>14</v>
      </c>
      <c r="B1049" s="1" t="s">
        <v>220</v>
      </c>
      <c r="C1049" s="4">
        <v>24</v>
      </c>
      <c r="D1049" s="8">
        <v>1.77</v>
      </c>
      <c r="E1049" s="4">
        <v>2</v>
      </c>
      <c r="F1049" s="8">
        <v>0.41</v>
      </c>
      <c r="G1049" s="4">
        <v>22</v>
      </c>
      <c r="H1049" s="8">
        <v>2.57</v>
      </c>
      <c r="I1049" s="4">
        <v>0</v>
      </c>
    </row>
    <row r="1050" spans="1:9" x14ac:dyDescent="0.2">
      <c r="A1050" s="2">
        <v>14</v>
      </c>
      <c r="B1050" s="1" t="s">
        <v>224</v>
      </c>
      <c r="C1050" s="4">
        <v>24</v>
      </c>
      <c r="D1050" s="8">
        <v>1.77</v>
      </c>
      <c r="E1050" s="4">
        <v>14</v>
      </c>
      <c r="F1050" s="8">
        <v>2.86</v>
      </c>
      <c r="G1050" s="4">
        <v>10</v>
      </c>
      <c r="H1050" s="8">
        <v>1.17</v>
      </c>
      <c r="I1050" s="4">
        <v>0</v>
      </c>
    </row>
    <row r="1051" spans="1:9" x14ac:dyDescent="0.2">
      <c r="A1051" s="2">
        <v>16</v>
      </c>
      <c r="B1051" s="1" t="s">
        <v>223</v>
      </c>
      <c r="C1051" s="4">
        <v>21</v>
      </c>
      <c r="D1051" s="8">
        <v>1.55</v>
      </c>
      <c r="E1051" s="4">
        <v>10</v>
      </c>
      <c r="F1051" s="8">
        <v>2.04</v>
      </c>
      <c r="G1051" s="4">
        <v>11</v>
      </c>
      <c r="H1051" s="8">
        <v>1.29</v>
      </c>
      <c r="I1051" s="4">
        <v>0</v>
      </c>
    </row>
    <row r="1052" spans="1:9" x14ac:dyDescent="0.2">
      <c r="A1052" s="2">
        <v>16</v>
      </c>
      <c r="B1052" s="1" t="s">
        <v>227</v>
      </c>
      <c r="C1052" s="4">
        <v>21</v>
      </c>
      <c r="D1052" s="8">
        <v>1.55</v>
      </c>
      <c r="E1052" s="4">
        <v>7</v>
      </c>
      <c r="F1052" s="8">
        <v>1.43</v>
      </c>
      <c r="G1052" s="4">
        <v>14</v>
      </c>
      <c r="H1052" s="8">
        <v>1.64</v>
      </c>
      <c r="I1052" s="4">
        <v>0</v>
      </c>
    </row>
    <row r="1053" spans="1:9" x14ac:dyDescent="0.2">
      <c r="A1053" s="2">
        <v>16</v>
      </c>
      <c r="B1053" s="1" t="s">
        <v>195</v>
      </c>
      <c r="C1053" s="4">
        <v>21</v>
      </c>
      <c r="D1053" s="8">
        <v>1.55</v>
      </c>
      <c r="E1053" s="4">
        <v>6</v>
      </c>
      <c r="F1053" s="8">
        <v>1.23</v>
      </c>
      <c r="G1053" s="4">
        <v>15</v>
      </c>
      <c r="H1053" s="8">
        <v>1.75</v>
      </c>
      <c r="I1053" s="4">
        <v>0</v>
      </c>
    </row>
    <row r="1054" spans="1:9" x14ac:dyDescent="0.2">
      <c r="A1054" s="2">
        <v>19</v>
      </c>
      <c r="B1054" s="1" t="s">
        <v>226</v>
      </c>
      <c r="C1054" s="4">
        <v>20</v>
      </c>
      <c r="D1054" s="8">
        <v>1.48</v>
      </c>
      <c r="E1054" s="4">
        <v>5</v>
      </c>
      <c r="F1054" s="8">
        <v>1.02</v>
      </c>
      <c r="G1054" s="4">
        <v>15</v>
      </c>
      <c r="H1054" s="8">
        <v>1.75</v>
      </c>
      <c r="I1054" s="4">
        <v>0</v>
      </c>
    </row>
    <row r="1055" spans="1:9" x14ac:dyDescent="0.2">
      <c r="A1055" s="2">
        <v>19</v>
      </c>
      <c r="B1055" s="1" t="s">
        <v>158</v>
      </c>
      <c r="C1055" s="4">
        <v>20</v>
      </c>
      <c r="D1055" s="8">
        <v>1.48</v>
      </c>
      <c r="E1055" s="4">
        <v>13</v>
      </c>
      <c r="F1055" s="8">
        <v>2.66</v>
      </c>
      <c r="G1055" s="4">
        <v>7</v>
      </c>
      <c r="H1055" s="8">
        <v>0.82</v>
      </c>
      <c r="I1055" s="4">
        <v>0</v>
      </c>
    </row>
    <row r="1056" spans="1:9" x14ac:dyDescent="0.2">
      <c r="A1056" s="1"/>
      <c r="C1056" s="4"/>
      <c r="D1056" s="8"/>
      <c r="E1056" s="4"/>
      <c r="F1056" s="8"/>
      <c r="G1056" s="4"/>
      <c r="H1056" s="8"/>
      <c r="I1056" s="4"/>
    </row>
    <row r="1057" spans="1:9" x14ac:dyDescent="0.2">
      <c r="A1057" s="1" t="s">
        <v>47</v>
      </c>
      <c r="C1057" s="4"/>
      <c r="D1057" s="8"/>
      <c r="E1057" s="4"/>
      <c r="F1057" s="8"/>
      <c r="G1057" s="4"/>
      <c r="H1057" s="8"/>
      <c r="I1057" s="4"/>
    </row>
    <row r="1058" spans="1:9" x14ac:dyDescent="0.2">
      <c r="A1058" s="2">
        <v>1</v>
      </c>
      <c r="B1058" s="1" t="s">
        <v>172</v>
      </c>
      <c r="C1058" s="4">
        <v>86</v>
      </c>
      <c r="D1058" s="8">
        <v>5.0199999999999996</v>
      </c>
      <c r="E1058" s="4">
        <v>59</v>
      </c>
      <c r="F1058" s="8">
        <v>12.19</v>
      </c>
      <c r="G1058" s="4">
        <v>27</v>
      </c>
      <c r="H1058" s="8">
        <v>2.2200000000000002</v>
      </c>
      <c r="I1058" s="4">
        <v>0</v>
      </c>
    </row>
    <row r="1059" spans="1:9" x14ac:dyDescent="0.2">
      <c r="A1059" s="2">
        <v>2</v>
      </c>
      <c r="B1059" s="1" t="s">
        <v>162</v>
      </c>
      <c r="C1059" s="4">
        <v>85</v>
      </c>
      <c r="D1059" s="8">
        <v>4.96</v>
      </c>
      <c r="E1059" s="4">
        <v>13</v>
      </c>
      <c r="F1059" s="8">
        <v>2.69</v>
      </c>
      <c r="G1059" s="4">
        <v>72</v>
      </c>
      <c r="H1059" s="8">
        <v>5.91</v>
      </c>
      <c r="I1059" s="4">
        <v>0</v>
      </c>
    </row>
    <row r="1060" spans="1:9" x14ac:dyDescent="0.2">
      <c r="A1060" s="2">
        <v>3</v>
      </c>
      <c r="B1060" s="1" t="s">
        <v>175</v>
      </c>
      <c r="C1060" s="4">
        <v>53</v>
      </c>
      <c r="D1060" s="8">
        <v>3.09</v>
      </c>
      <c r="E1060" s="4">
        <v>43</v>
      </c>
      <c r="F1060" s="8">
        <v>8.8800000000000008</v>
      </c>
      <c r="G1060" s="4">
        <v>10</v>
      </c>
      <c r="H1060" s="8">
        <v>0.82</v>
      </c>
      <c r="I1060" s="4">
        <v>0</v>
      </c>
    </row>
    <row r="1061" spans="1:9" x14ac:dyDescent="0.2">
      <c r="A1061" s="2">
        <v>4</v>
      </c>
      <c r="B1061" s="1" t="s">
        <v>167</v>
      </c>
      <c r="C1061" s="4">
        <v>52</v>
      </c>
      <c r="D1061" s="8">
        <v>3.04</v>
      </c>
      <c r="E1061" s="4">
        <v>9</v>
      </c>
      <c r="F1061" s="8">
        <v>1.86</v>
      </c>
      <c r="G1061" s="4">
        <v>42</v>
      </c>
      <c r="H1061" s="8">
        <v>3.45</v>
      </c>
      <c r="I1061" s="4">
        <v>0</v>
      </c>
    </row>
    <row r="1062" spans="1:9" x14ac:dyDescent="0.2">
      <c r="A1062" s="2">
        <v>5</v>
      </c>
      <c r="B1062" s="1" t="s">
        <v>163</v>
      </c>
      <c r="C1062" s="4">
        <v>45</v>
      </c>
      <c r="D1062" s="8">
        <v>2.63</v>
      </c>
      <c r="E1062" s="4">
        <v>0</v>
      </c>
      <c r="F1062" s="8">
        <v>0</v>
      </c>
      <c r="G1062" s="4">
        <v>45</v>
      </c>
      <c r="H1062" s="8">
        <v>3.69</v>
      </c>
      <c r="I1062" s="4">
        <v>0</v>
      </c>
    </row>
    <row r="1063" spans="1:9" x14ac:dyDescent="0.2">
      <c r="A1063" s="2">
        <v>6</v>
      </c>
      <c r="B1063" s="1" t="s">
        <v>157</v>
      </c>
      <c r="C1063" s="4">
        <v>44</v>
      </c>
      <c r="D1063" s="8">
        <v>2.57</v>
      </c>
      <c r="E1063" s="4">
        <v>1</v>
      </c>
      <c r="F1063" s="8">
        <v>0.21</v>
      </c>
      <c r="G1063" s="4">
        <v>43</v>
      </c>
      <c r="H1063" s="8">
        <v>3.53</v>
      </c>
      <c r="I1063" s="4">
        <v>0</v>
      </c>
    </row>
    <row r="1064" spans="1:9" x14ac:dyDescent="0.2">
      <c r="A1064" s="2">
        <v>7</v>
      </c>
      <c r="B1064" s="1" t="s">
        <v>171</v>
      </c>
      <c r="C1064" s="4">
        <v>43</v>
      </c>
      <c r="D1064" s="8">
        <v>2.5099999999999998</v>
      </c>
      <c r="E1064" s="4">
        <v>35</v>
      </c>
      <c r="F1064" s="8">
        <v>7.23</v>
      </c>
      <c r="G1064" s="4">
        <v>8</v>
      </c>
      <c r="H1064" s="8">
        <v>0.66</v>
      </c>
      <c r="I1064" s="4">
        <v>0</v>
      </c>
    </row>
    <row r="1065" spans="1:9" x14ac:dyDescent="0.2">
      <c r="A1065" s="2">
        <v>8</v>
      </c>
      <c r="B1065" s="1" t="s">
        <v>173</v>
      </c>
      <c r="C1065" s="4">
        <v>40</v>
      </c>
      <c r="D1065" s="8">
        <v>2.34</v>
      </c>
      <c r="E1065" s="4">
        <v>25</v>
      </c>
      <c r="F1065" s="8">
        <v>5.17</v>
      </c>
      <c r="G1065" s="4">
        <v>15</v>
      </c>
      <c r="H1065" s="8">
        <v>1.23</v>
      </c>
      <c r="I1065" s="4">
        <v>0</v>
      </c>
    </row>
    <row r="1066" spans="1:9" x14ac:dyDescent="0.2">
      <c r="A1066" s="2">
        <v>9</v>
      </c>
      <c r="B1066" s="1" t="s">
        <v>168</v>
      </c>
      <c r="C1066" s="4">
        <v>35</v>
      </c>
      <c r="D1066" s="8">
        <v>2.04</v>
      </c>
      <c r="E1066" s="4">
        <v>24</v>
      </c>
      <c r="F1066" s="8">
        <v>4.96</v>
      </c>
      <c r="G1066" s="4">
        <v>11</v>
      </c>
      <c r="H1066" s="8">
        <v>0.9</v>
      </c>
      <c r="I1066" s="4">
        <v>0</v>
      </c>
    </row>
    <row r="1067" spans="1:9" x14ac:dyDescent="0.2">
      <c r="A1067" s="2">
        <v>10</v>
      </c>
      <c r="B1067" s="1" t="s">
        <v>159</v>
      </c>
      <c r="C1067" s="4">
        <v>33</v>
      </c>
      <c r="D1067" s="8">
        <v>1.93</v>
      </c>
      <c r="E1067" s="4">
        <v>7</v>
      </c>
      <c r="F1067" s="8">
        <v>1.45</v>
      </c>
      <c r="G1067" s="4">
        <v>26</v>
      </c>
      <c r="H1067" s="8">
        <v>2.13</v>
      </c>
      <c r="I1067" s="4">
        <v>0</v>
      </c>
    </row>
    <row r="1068" spans="1:9" x14ac:dyDescent="0.2">
      <c r="A1068" s="2">
        <v>11</v>
      </c>
      <c r="B1068" s="1" t="s">
        <v>161</v>
      </c>
      <c r="C1068" s="4">
        <v>31</v>
      </c>
      <c r="D1068" s="8">
        <v>1.81</v>
      </c>
      <c r="E1068" s="4">
        <v>5</v>
      </c>
      <c r="F1068" s="8">
        <v>1.03</v>
      </c>
      <c r="G1068" s="4">
        <v>26</v>
      </c>
      <c r="H1068" s="8">
        <v>2.13</v>
      </c>
      <c r="I1068" s="4">
        <v>0</v>
      </c>
    </row>
    <row r="1069" spans="1:9" x14ac:dyDescent="0.2">
      <c r="A1069" s="2">
        <v>12</v>
      </c>
      <c r="B1069" s="1" t="s">
        <v>197</v>
      </c>
      <c r="C1069" s="4">
        <v>30</v>
      </c>
      <c r="D1069" s="8">
        <v>1.75</v>
      </c>
      <c r="E1069" s="4">
        <v>9</v>
      </c>
      <c r="F1069" s="8">
        <v>1.86</v>
      </c>
      <c r="G1069" s="4">
        <v>21</v>
      </c>
      <c r="H1069" s="8">
        <v>1.72</v>
      </c>
      <c r="I1069" s="4">
        <v>0</v>
      </c>
    </row>
    <row r="1070" spans="1:9" x14ac:dyDescent="0.2">
      <c r="A1070" s="2">
        <v>13</v>
      </c>
      <c r="B1070" s="1" t="s">
        <v>199</v>
      </c>
      <c r="C1070" s="4">
        <v>29</v>
      </c>
      <c r="D1070" s="8">
        <v>1.69</v>
      </c>
      <c r="E1070" s="4">
        <v>3</v>
      </c>
      <c r="F1070" s="8">
        <v>0.62</v>
      </c>
      <c r="G1070" s="4">
        <v>26</v>
      </c>
      <c r="H1070" s="8">
        <v>2.13</v>
      </c>
      <c r="I1070" s="4">
        <v>0</v>
      </c>
    </row>
    <row r="1071" spans="1:9" x14ac:dyDescent="0.2">
      <c r="A1071" s="2">
        <v>14</v>
      </c>
      <c r="B1071" s="1" t="s">
        <v>166</v>
      </c>
      <c r="C1071" s="4">
        <v>27</v>
      </c>
      <c r="D1071" s="8">
        <v>1.58</v>
      </c>
      <c r="E1071" s="4">
        <v>5</v>
      </c>
      <c r="F1071" s="8">
        <v>1.03</v>
      </c>
      <c r="G1071" s="4">
        <v>22</v>
      </c>
      <c r="H1071" s="8">
        <v>1.81</v>
      </c>
      <c r="I1071" s="4">
        <v>0</v>
      </c>
    </row>
    <row r="1072" spans="1:9" x14ac:dyDescent="0.2">
      <c r="A1072" s="2">
        <v>15</v>
      </c>
      <c r="B1072" s="1" t="s">
        <v>200</v>
      </c>
      <c r="C1072" s="4">
        <v>26</v>
      </c>
      <c r="D1072" s="8">
        <v>1.52</v>
      </c>
      <c r="E1072" s="4">
        <v>1</v>
      </c>
      <c r="F1072" s="8">
        <v>0.21</v>
      </c>
      <c r="G1072" s="4">
        <v>25</v>
      </c>
      <c r="H1072" s="8">
        <v>2.0499999999999998</v>
      </c>
      <c r="I1072" s="4">
        <v>0</v>
      </c>
    </row>
    <row r="1073" spans="1:9" x14ac:dyDescent="0.2">
      <c r="A1073" s="2">
        <v>16</v>
      </c>
      <c r="B1073" s="1" t="s">
        <v>192</v>
      </c>
      <c r="C1073" s="4">
        <v>25</v>
      </c>
      <c r="D1073" s="8">
        <v>1.46</v>
      </c>
      <c r="E1073" s="4">
        <v>1</v>
      </c>
      <c r="F1073" s="8">
        <v>0.21</v>
      </c>
      <c r="G1073" s="4">
        <v>24</v>
      </c>
      <c r="H1073" s="8">
        <v>1.97</v>
      </c>
      <c r="I1073" s="4">
        <v>0</v>
      </c>
    </row>
    <row r="1074" spans="1:9" x14ac:dyDescent="0.2">
      <c r="A1074" s="2">
        <v>16</v>
      </c>
      <c r="B1074" s="1" t="s">
        <v>228</v>
      </c>
      <c r="C1074" s="4">
        <v>25</v>
      </c>
      <c r="D1074" s="8">
        <v>1.46</v>
      </c>
      <c r="E1074" s="4">
        <v>2</v>
      </c>
      <c r="F1074" s="8">
        <v>0.41</v>
      </c>
      <c r="G1074" s="4">
        <v>23</v>
      </c>
      <c r="H1074" s="8">
        <v>1.89</v>
      </c>
      <c r="I1074" s="4">
        <v>0</v>
      </c>
    </row>
    <row r="1075" spans="1:9" x14ac:dyDescent="0.2">
      <c r="A1075" s="2">
        <v>18</v>
      </c>
      <c r="B1075" s="1" t="s">
        <v>160</v>
      </c>
      <c r="C1075" s="4">
        <v>23</v>
      </c>
      <c r="D1075" s="8">
        <v>1.34</v>
      </c>
      <c r="E1075" s="4">
        <v>0</v>
      </c>
      <c r="F1075" s="8">
        <v>0</v>
      </c>
      <c r="G1075" s="4">
        <v>23</v>
      </c>
      <c r="H1075" s="8">
        <v>1.89</v>
      </c>
      <c r="I1075" s="4">
        <v>0</v>
      </c>
    </row>
    <row r="1076" spans="1:9" x14ac:dyDescent="0.2">
      <c r="A1076" s="2">
        <v>18</v>
      </c>
      <c r="B1076" s="1" t="s">
        <v>170</v>
      </c>
      <c r="C1076" s="4">
        <v>23</v>
      </c>
      <c r="D1076" s="8">
        <v>1.34</v>
      </c>
      <c r="E1076" s="4">
        <v>20</v>
      </c>
      <c r="F1076" s="8">
        <v>4.13</v>
      </c>
      <c r="G1076" s="4">
        <v>3</v>
      </c>
      <c r="H1076" s="8">
        <v>0.25</v>
      </c>
      <c r="I1076" s="4">
        <v>0</v>
      </c>
    </row>
    <row r="1077" spans="1:9" x14ac:dyDescent="0.2">
      <c r="A1077" s="2">
        <v>20</v>
      </c>
      <c r="B1077" s="1" t="s">
        <v>198</v>
      </c>
      <c r="C1077" s="4">
        <v>22</v>
      </c>
      <c r="D1077" s="8">
        <v>1.28</v>
      </c>
      <c r="E1077" s="4">
        <v>3</v>
      </c>
      <c r="F1077" s="8">
        <v>0.62</v>
      </c>
      <c r="G1077" s="4">
        <v>19</v>
      </c>
      <c r="H1077" s="8">
        <v>1.56</v>
      </c>
      <c r="I1077" s="4">
        <v>0</v>
      </c>
    </row>
    <row r="1078" spans="1:9" x14ac:dyDescent="0.2">
      <c r="A1078" s="1"/>
      <c r="C1078" s="4"/>
      <c r="D1078" s="8"/>
      <c r="E1078" s="4"/>
      <c r="F1078" s="8"/>
      <c r="G1078" s="4"/>
      <c r="H1078" s="8"/>
      <c r="I1078" s="4"/>
    </row>
    <row r="1079" spans="1:9" x14ac:dyDescent="0.2">
      <c r="A1079" s="1" t="s">
        <v>48</v>
      </c>
      <c r="C1079" s="4"/>
      <c r="D1079" s="8"/>
      <c r="E1079" s="4"/>
      <c r="F1079" s="8"/>
      <c r="G1079" s="4"/>
      <c r="H1079" s="8"/>
      <c r="I1079" s="4"/>
    </row>
    <row r="1080" spans="1:9" x14ac:dyDescent="0.2">
      <c r="A1080" s="2">
        <v>1</v>
      </c>
      <c r="B1080" s="1" t="s">
        <v>162</v>
      </c>
      <c r="C1080" s="4">
        <v>153</v>
      </c>
      <c r="D1080" s="8">
        <v>11.61</v>
      </c>
      <c r="E1080" s="4">
        <v>110</v>
      </c>
      <c r="F1080" s="8">
        <v>20.260000000000002</v>
      </c>
      <c r="G1080" s="4">
        <v>43</v>
      </c>
      <c r="H1080" s="8">
        <v>5.63</v>
      </c>
      <c r="I1080" s="4">
        <v>0</v>
      </c>
    </row>
    <row r="1081" spans="1:9" x14ac:dyDescent="0.2">
      <c r="A1081" s="2">
        <v>2</v>
      </c>
      <c r="B1081" s="1" t="s">
        <v>172</v>
      </c>
      <c r="C1081" s="4">
        <v>41</v>
      </c>
      <c r="D1081" s="8">
        <v>3.11</v>
      </c>
      <c r="E1081" s="4">
        <v>33</v>
      </c>
      <c r="F1081" s="8">
        <v>6.08</v>
      </c>
      <c r="G1081" s="4">
        <v>8</v>
      </c>
      <c r="H1081" s="8">
        <v>1.05</v>
      </c>
      <c r="I1081" s="4">
        <v>0</v>
      </c>
    </row>
    <row r="1082" spans="1:9" x14ac:dyDescent="0.2">
      <c r="A1082" s="2">
        <v>3</v>
      </c>
      <c r="B1082" s="1" t="s">
        <v>175</v>
      </c>
      <c r="C1082" s="4">
        <v>32</v>
      </c>
      <c r="D1082" s="8">
        <v>2.4300000000000002</v>
      </c>
      <c r="E1082" s="4">
        <v>25</v>
      </c>
      <c r="F1082" s="8">
        <v>4.5999999999999996</v>
      </c>
      <c r="G1082" s="4">
        <v>7</v>
      </c>
      <c r="H1082" s="8">
        <v>0.92</v>
      </c>
      <c r="I1082" s="4">
        <v>0</v>
      </c>
    </row>
    <row r="1083" spans="1:9" x14ac:dyDescent="0.2">
      <c r="A1083" s="2">
        <v>4</v>
      </c>
      <c r="B1083" s="1" t="s">
        <v>173</v>
      </c>
      <c r="C1083" s="4">
        <v>31</v>
      </c>
      <c r="D1083" s="8">
        <v>2.35</v>
      </c>
      <c r="E1083" s="4">
        <v>21</v>
      </c>
      <c r="F1083" s="8">
        <v>3.87</v>
      </c>
      <c r="G1083" s="4">
        <v>10</v>
      </c>
      <c r="H1083" s="8">
        <v>1.31</v>
      </c>
      <c r="I1083" s="4">
        <v>0</v>
      </c>
    </row>
    <row r="1084" spans="1:9" x14ac:dyDescent="0.2">
      <c r="A1084" s="2">
        <v>5</v>
      </c>
      <c r="B1084" s="1" t="s">
        <v>171</v>
      </c>
      <c r="C1084" s="4">
        <v>30</v>
      </c>
      <c r="D1084" s="8">
        <v>2.2799999999999998</v>
      </c>
      <c r="E1084" s="4">
        <v>28</v>
      </c>
      <c r="F1084" s="8">
        <v>5.16</v>
      </c>
      <c r="G1084" s="4">
        <v>2</v>
      </c>
      <c r="H1084" s="8">
        <v>0.26</v>
      </c>
      <c r="I1084" s="4">
        <v>0</v>
      </c>
    </row>
    <row r="1085" spans="1:9" x14ac:dyDescent="0.2">
      <c r="A1085" s="2">
        <v>6</v>
      </c>
      <c r="B1085" s="1" t="s">
        <v>163</v>
      </c>
      <c r="C1085" s="4">
        <v>29</v>
      </c>
      <c r="D1085" s="8">
        <v>2.2000000000000002</v>
      </c>
      <c r="E1085" s="4">
        <v>4</v>
      </c>
      <c r="F1085" s="8">
        <v>0.74</v>
      </c>
      <c r="G1085" s="4">
        <v>25</v>
      </c>
      <c r="H1085" s="8">
        <v>3.27</v>
      </c>
      <c r="I1085" s="4">
        <v>0</v>
      </c>
    </row>
    <row r="1086" spans="1:9" x14ac:dyDescent="0.2">
      <c r="A1086" s="2">
        <v>6</v>
      </c>
      <c r="B1086" s="1" t="s">
        <v>167</v>
      </c>
      <c r="C1086" s="4">
        <v>29</v>
      </c>
      <c r="D1086" s="8">
        <v>2.2000000000000002</v>
      </c>
      <c r="E1086" s="4">
        <v>4</v>
      </c>
      <c r="F1086" s="8">
        <v>0.74</v>
      </c>
      <c r="G1086" s="4">
        <v>24</v>
      </c>
      <c r="H1086" s="8">
        <v>3.14</v>
      </c>
      <c r="I1086" s="4">
        <v>0</v>
      </c>
    </row>
    <row r="1087" spans="1:9" x14ac:dyDescent="0.2">
      <c r="A1087" s="2">
        <v>8</v>
      </c>
      <c r="B1087" s="1" t="s">
        <v>161</v>
      </c>
      <c r="C1087" s="4">
        <v>25</v>
      </c>
      <c r="D1087" s="8">
        <v>1.9</v>
      </c>
      <c r="E1087" s="4">
        <v>14</v>
      </c>
      <c r="F1087" s="8">
        <v>2.58</v>
      </c>
      <c r="G1087" s="4">
        <v>11</v>
      </c>
      <c r="H1087" s="8">
        <v>1.44</v>
      </c>
      <c r="I1087" s="4">
        <v>0</v>
      </c>
    </row>
    <row r="1088" spans="1:9" x14ac:dyDescent="0.2">
      <c r="A1088" s="2">
        <v>9</v>
      </c>
      <c r="B1088" s="1" t="s">
        <v>169</v>
      </c>
      <c r="C1088" s="4">
        <v>24</v>
      </c>
      <c r="D1088" s="8">
        <v>1.82</v>
      </c>
      <c r="E1088" s="4">
        <v>20</v>
      </c>
      <c r="F1088" s="8">
        <v>3.68</v>
      </c>
      <c r="G1088" s="4">
        <v>4</v>
      </c>
      <c r="H1088" s="8">
        <v>0.52</v>
      </c>
      <c r="I1088" s="4">
        <v>0</v>
      </c>
    </row>
    <row r="1089" spans="1:9" x14ac:dyDescent="0.2">
      <c r="A1089" s="2">
        <v>10</v>
      </c>
      <c r="B1089" s="1" t="s">
        <v>220</v>
      </c>
      <c r="C1089" s="4">
        <v>23</v>
      </c>
      <c r="D1089" s="8">
        <v>1.75</v>
      </c>
      <c r="E1089" s="4">
        <v>4</v>
      </c>
      <c r="F1089" s="8">
        <v>0.74</v>
      </c>
      <c r="G1089" s="4">
        <v>18</v>
      </c>
      <c r="H1089" s="8">
        <v>2.36</v>
      </c>
      <c r="I1089" s="4">
        <v>1</v>
      </c>
    </row>
    <row r="1090" spans="1:9" x14ac:dyDescent="0.2">
      <c r="A1090" s="2">
        <v>10</v>
      </c>
      <c r="B1090" s="1" t="s">
        <v>168</v>
      </c>
      <c r="C1090" s="4">
        <v>23</v>
      </c>
      <c r="D1090" s="8">
        <v>1.75</v>
      </c>
      <c r="E1090" s="4">
        <v>19</v>
      </c>
      <c r="F1090" s="8">
        <v>3.5</v>
      </c>
      <c r="G1090" s="4">
        <v>4</v>
      </c>
      <c r="H1090" s="8">
        <v>0.52</v>
      </c>
      <c r="I1090" s="4">
        <v>0</v>
      </c>
    </row>
    <row r="1091" spans="1:9" x14ac:dyDescent="0.2">
      <c r="A1091" s="2">
        <v>12</v>
      </c>
      <c r="B1091" s="1" t="s">
        <v>208</v>
      </c>
      <c r="C1091" s="4">
        <v>21</v>
      </c>
      <c r="D1091" s="8">
        <v>1.59</v>
      </c>
      <c r="E1091" s="4">
        <v>6</v>
      </c>
      <c r="F1091" s="8">
        <v>1.1000000000000001</v>
      </c>
      <c r="G1091" s="4">
        <v>15</v>
      </c>
      <c r="H1091" s="8">
        <v>1.96</v>
      </c>
      <c r="I1091" s="4">
        <v>0</v>
      </c>
    </row>
    <row r="1092" spans="1:9" x14ac:dyDescent="0.2">
      <c r="A1092" s="2">
        <v>12</v>
      </c>
      <c r="B1092" s="1" t="s">
        <v>192</v>
      </c>
      <c r="C1092" s="4">
        <v>21</v>
      </c>
      <c r="D1092" s="8">
        <v>1.59</v>
      </c>
      <c r="E1092" s="4">
        <v>1</v>
      </c>
      <c r="F1092" s="8">
        <v>0.18</v>
      </c>
      <c r="G1092" s="4">
        <v>20</v>
      </c>
      <c r="H1092" s="8">
        <v>2.62</v>
      </c>
      <c r="I1092" s="4">
        <v>0</v>
      </c>
    </row>
    <row r="1093" spans="1:9" x14ac:dyDescent="0.2">
      <c r="A1093" s="2">
        <v>14</v>
      </c>
      <c r="B1093" s="1" t="s">
        <v>201</v>
      </c>
      <c r="C1093" s="4">
        <v>19</v>
      </c>
      <c r="D1093" s="8">
        <v>1.44</v>
      </c>
      <c r="E1093" s="4">
        <v>0</v>
      </c>
      <c r="F1093" s="8">
        <v>0</v>
      </c>
      <c r="G1093" s="4">
        <v>19</v>
      </c>
      <c r="H1093" s="8">
        <v>2.4900000000000002</v>
      </c>
      <c r="I1093" s="4">
        <v>0</v>
      </c>
    </row>
    <row r="1094" spans="1:9" x14ac:dyDescent="0.2">
      <c r="A1094" s="2">
        <v>14</v>
      </c>
      <c r="B1094" s="1" t="s">
        <v>159</v>
      </c>
      <c r="C1094" s="4">
        <v>19</v>
      </c>
      <c r="D1094" s="8">
        <v>1.44</v>
      </c>
      <c r="E1094" s="4">
        <v>9</v>
      </c>
      <c r="F1094" s="8">
        <v>1.66</v>
      </c>
      <c r="G1094" s="4">
        <v>10</v>
      </c>
      <c r="H1094" s="8">
        <v>1.31</v>
      </c>
      <c r="I1094" s="4">
        <v>0</v>
      </c>
    </row>
    <row r="1095" spans="1:9" x14ac:dyDescent="0.2">
      <c r="A1095" s="2">
        <v>14</v>
      </c>
      <c r="B1095" s="1" t="s">
        <v>165</v>
      </c>
      <c r="C1095" s="4">
        <v>19</v>
      </c>
      <c r="D1095" s="8">
        <v>1.44</v>
      </c>
      <c r="E1095" s="4">
        <v>0</v>
      </c>
      <c r="F1095" s="8">
        <v>0</v>
      </c>
      <c r="G1095" s="4">
        <v>19</v>
      </c>
      <c r="H1095" s="8">
        <v>2.4900000000000002</v>
      </c>
      <c r="I1095" s="4">
        <v>0</v>
      </c>
    </row>
    <row r="1096" spans="1:9" x14ac:dyDescent="0.2">
      <c r="A1096" s="2">
        <v>14</v>
      </c>
      <c r="B1096" s="1" t="s">
        <v>197</v>
      </c>
      <c r="C1096" s="4">
        <v>19</v>
      </c>
      <c r="D1096" s="8">
        <v>1.44</v>
      </c>
      <c r="E1096" s="4">
        <v>8</v>
      </c>
      <c r="F1096" s="8">
        <v>1.47</v>
      </c>
      <c r="G1096" s="4">
        <v>11</v>
      </c>
      <c r="H1096" s="8">
        <v>1.44</v>
      </c>
      <c r="I1096" s="4">
        <v>0</v>
      </c>
    </row>
    <row r="1097" spans="1:9" x14ac:dyDescent="0.2">
      <c r="A1097" s="2">
        <v>18</v>
      </c>
      <c r="B1097" s="1" t="s">
        <v>206</v>
      </c>
      <c r="C1097" s="4">
        <v>17</v>
      </c>
      <c r="D1097" s="8">
        <v>1.29</v>
      </c>
      <c r="E1097" s="4">
        <v>1</v>
      </c>
      <c r="F1097" s="8">
        <v>0.18</v>
      </c>
      <c r="G1097" s="4">
        <v>16</v>
      </c>
      <c r="H1097" s="8">
        <v>2.09</v>
      </c>
      <c r="I1097" s="4">
        <v>0</v>
      </c>
    </row>
    <row r="1098" spans="1:9" x14ac:dyDescent="0.2">
      <c r="A1098" s="2">
        <v>18</v>
      </c>
      <c r="B1098" s="1" t="s">
        <v>229</v>
      </c>
      <c r="C1098" s="4">
        <v>17</v>
      </c>
      <c r="D1098" s="8">
        <v>1.29</v>
      </c>
      <c r="E1098" s="4">
        <v>2</v>
      </c>
      <c r="F1098" s="8">
        <v>0.37</v>
      </c>
      <c r="G1098" s="4">
        <v>15</v>
      </c>
      <c r="H1098" s="8">
        <v>1.96</v>
      </c>
      <c r="I1098" s="4">
        <v>0</v>
      </c>
    </row>
    <row r="1099" spans="1:9" x14ac:dyDescent="0.2">
      <c r="A1099" s="2">
        <v>18</v>
      </c>
      <c r="B1099" s="1" t="s">
        <v>204</v>
      </c>
      <c r="C1099" s="4">
        <v>17</v>
      </c>
      <c r="D1099" s="8">
        <v>1.29</v>
      </c>
      <c r="E1099" s="4">
        <v>13</v>
      </c>
      <c r="F1099" s="8">
        <v>2.39</v>
      </c>
      <c r="G1099" s="4">
        <v>4</v>
      </c>
      <c r="H1099" s="8">
        <v>0.52</v>
      </c>
      <c r="I1099" s="4">
        <v>0</v>
      </c>
    </row>
    <row r="1100" spans="1:9" x14ac:dyDescent="0.2">
      <c r="A1100" s="2">
        <v>18</v>
      </c>
      <c r="B1100" s="1" t="s">
        <v>170</v>
      </c>
      <c r="C1100" s="4">
        <v>17</v>
      </c>
      <c r="D1100" s="8">
        <v>1.29</v>
      </c>
      <c r="E1100" s="4">
        <v>16</v>
      </c>
      <c r="F1100" s="8">
        <v>2.95</v>
      </c>
      <c r="G1100" s="4">
        <v>1</v>
      </c>
      <c r="H1100" s="8">
        <v>0.13</v>
      </c>
      <c r="I1100" s="4">
        <v>0</v>
      </c>
    </row>
    <row r="1101" spans="1:9" x14ac:dyDescent="0.2">
      <c r="A1101" s="2">
        <v>18</v>
      </c>
      <c r="B1101" s="1" t="s">
        <v>176</v>
      </c>
      <c r="C1101" s="4">
        <v>17</v>
      </c>
      <c r="D1101" s="8">
        <v>1.29</v>
      </c>
      <c r="E1101" s="4">
        <v>0</v>
      </c>
      <c r="F1101" s="8">
        <v>0</v>
      </c>
      <c r="G1101" s="4">
        <v>15</v>
      </c>
      <c r="H1101" s="8">
        <v>1.96</v>
      </c>
      <c r="I1101" s="4">
        <v>2</v>
      </c>
    </row>
    <row r="1102" spans="1:9" x14ac:dyDescent="0.2">
      <c r="A1102" s="1"/>
      <c r="C1102" s="4"/>
      <c r="D1102" s="8"/>
      <c r="E1102" s="4"/>
      <c r="F1102" s="8"/>
      <c r="G1102" s="4"/>
      <c r="H1102" s="8"/>
      <c r="I1102" s="4"/>
    </row>
    <row r="1103" spans="1:9" x14ac:dyDescent="0.2">
      <c r="A1103" s="1" t="s">
        <v>49</v>
      </c>
      <c r="C1103" s="4"/>
      <c r="D1103" s="8"/>
      <c r="E1103" s="4"/>
      <c r="F1103" s="8"/>
      <c r="G1103" s="4"/>
      <c r="H1103" s="8"/>
      <c r="I1103" s="4"/>
    </row>
    <row r="1104" spans="1:9" x14ac:dyDescent="0.2">
      <c r="A1104" s="2">
        <v>1</v>
      </c>
      <c r="B1104" s="1" t="s">
        <v>169</v>
      </c>
      <c r="C1104" s="4">
        <v>65</v>
      </c>
      <c r="D1104" s="8">
        <v>6.36</v>
      </c>
      <c r="E1104" s="4">
        <v>58</v>
      </c>
      <c r="F1104" s="8">
        <v>11.55</v>
      </c>
      <c r="G1104" s="4">
        <v>7</v>
      </c>
      <c r="H1104" s="8">
        <v>1.36</v>
      </c>
      <c r="I1104" s="4">
        <v>0</v>
      </c>
    </row>
    <row r="1105" spans="1:9" x14ac:dyDescent="0.2">
      <c r="A1105" s="2">
        <v>2</v>
      </c>
      <c r="B1105" s="1" t="s">
        <v>172</v>
      </c>
      <c r="C1105" s="4">
        <v>56</v>
      </c>
      <c r="D1105" s="8">
        <v>5.48</v>
      </c>
      <c r="E1105" s="4">
        <v>50</v>
      </c>
      <c r="F1105" s="8">
        <v>9.9600000000000009</v>
      </c>
      <c r="G1105" s="4">
        <v>6</v>
      </c>
      <c r="H1105" s="8">
        <v>1.1599999999999999</v>
      </c>
      <c r="I1105" s="4">
        <v>0</v>
      </c>
    </row>
    <row r="1106" spans="1:9" x14ac:dyDescent="0.2">
      <c r="A1106" s="2">
        <v>3</v>
      </c>
      <c r="B1106" s="1" t="s">
        <v>170</v>
      </c>
      <c r="C1106" s="4">
        <v>51</v>
      </c>
      <c r="D1106" s="8">
        <v>4.99</v>
      </c>
      <c r="E1106" s="4">
        <v>48</v>
      </c>
      <c r="F1106" s="8">
        <v>9.56</v>
      </c>
      <c r="G1106" s="4">
        <v>3</v>
      </c>
      <c r="H1106" s="8">
        <v>0.57999999999999996</v>
      </c>
      <c r="I1106" s="4">
        <v>0</v>
      </c>
    </row>
    <row r="1107" spans="1:9" x14ac:dyDescent="0.2">
      <c r="A1107" s="2">
        <v>4</v>
      </c>
      <c r="B1107" s="1" t="s">
        <v>168</v>
      </c>
      <c r="C1107" s="4">
        <v>48</v>
      </c>
      <c r="D1107" s="8">
        <v>4.7</v>
      </c>
      <c r="E1107" s="4">
        <v>40</v>
      </c>
      <c r="F1107" s="8">
        <v>7.97</v>
      </c>
      <c r="G1107" s="4">
        <v>8</v>
      </c>
      <c r="H1107" s="8">
        <v>1.55</v>
      </c>
      <c r="I1107" s="4">
        <v>0</v>
      </c>
    </row>
    <row r="1108" spans="1:9" x14ac:dyDescent="0.2">
      <c r="A1108" s="2">
        <v>5</v>
      </c>
      <c r="B1108" s="1" t="s">
        <v>171</v>
      </c>
      <c r="C1108" s="4">
        <v>40</v>
      </c>
      <c r="D1108" s="8">
        <v>3.91</v>
      </c>
      <c r="E1108" s="4">
        <v>36</v>
      </c>
      <c r="F1108" s="8">
        <v>7.17</v>
      </c>
      <c r="G1108" s="4">
        <v>4</v>
      </c>
      <c r="H1108" s="8">
        <v>0.78</v>
      </c>
      <c r="I1108" s="4">
        <v>0</v>
      </c>
    </row>
    <row r="1109" spans="1:9" x14ac:dyDescent="0.2">
      <c r="A1109" s="2">
        <v>6</v>
      </c>
      <c r="B1109" s="1" t="s">
        <v>161</v>
      </c>
      <c r="C1109" s="4">
        <v>30</v>
      </c>
      <c r="D1109" s="8">
        <v>2.94</v>
      </c>
      <c r="E1109" s="4">
        <v>1</v>
      </c>
      <c r="F1109" s="8">
        <v>0.2</v>
      </c>
      <c r="G1109" s="4">
        <v>29</v>
      </c>
      <c r="H1109" s="8">
        <v>5.62</v>
      </c>
      <c r="I1109" s="4">
        <v>0</v>
      </c>
    </row>
    <row r="1110" spans="1:9" x14ac:dyDescent="0.2">
      <c r="A1110" s="2">
        <v>6</v>
      </c>
      <c r="B1110" s="1" t="s">
        <v>175</v>
      </c>
      <c r="C1110" s="4">
        <v>30</v>
      </c>
      <c r="D1110" s="8">
        <v>2.94</v>
      </c>
      <c r="E1110" s="4">
        <v>27</v>
      </c>
      <c r="F1110" s="8">
        <v>5.38</v>
      </c>
      <c r="G1110" s="4">
        <v>3</v>
      </c>
      <c r="H1110" s="8">
        <v>0.57999999999999996</v>
      </c>
      <c r="I1110" s="4">
        <v>0</v>
      </c>
    </row>
    <row r="1111" spans="1:9" x14ac:dyDescent="0.2">
      <c r="A1111" s="2">
        <v>8</v>
      </c>
      <c r="B1111" s="1" t="s">
        <v>173</v>
      </c>
      <c r="C1111" s="4">
        <v>29</v>
      </c>
      <c r="D1111" s="8">
        <v>2.84</v>
      </c>
      <c r="E1111" s="4">
        <v>25</v>
      </c>
      <c r="F1111" s="8">
        <v>4.9800000000000004</v>
      </c>
      <c r="G1111" s="4">
        <v>4</v>
      </c>
      <c r="H1111" s="8">
        <v>0.78</v>
      </c>
      <c r="I1111" s="4">
        <v>0</v>
      </c>
    </row>
    <row r="1112" spans="1:9" x14ac:dyDescent="0.2">
      <c r="A1112" s="2">
        <v>9</v>
      </c>
      <c r="B1112" s="1" t="s">
        <v>162</v>
      </c>
      <c r="C1112" s="4">
        <v>28</v>
      </c>
      <c r="D1112" s="8">
        <v>2.74</v>
      </c>
      <c r="E1112" s="4">
        <v>6</v>
      </c>
      <c r="F1112" s="8">
        <v>1.2</v>
      </c>
      <c r="G1112" s="4">
        <v>22</v>
      </c>
      <c r="H1112" s="8">
        <v>4.26</v>
      </c>
      <c r="I1112" s="4">
        <v>0</v>
      </c>
    </row>
    <row r="1113" spans="1:9" x14ac:dyDescent="0.2">
      <c r="A1113" s="2">
        <v>10</v>
      </c>
      <c r="B1113" s="1" t="s">
        <v>197</v>
      </c>
      <c r="C1113" s="4">
        <v>20</v>
      </c>
      <c r="D1113" s="8">
        <v>1.96</v>
      </c>
      <c r="E1113" s="4">
        <v>8</v>
      </c>
      <c r="F1113" s="8">
        <v>1.59</v>
      </c>
      <c r="G1113" s="4">
        <v>12</v>
      </c>
      <c r="H1113" s="8">
        <v>2.33</v>
      </c>
      <c r="I1113" s="4">
        <v>0</v>
      </c>
    </row>
    <row r="1114" spans="1:9" x14ac:dyDescent="0.2">
      <c r="A1114" s="2">
        <v>11</v>
      </c>
      <c r="B1114" s="1" t="s">
        <v>160</v>
      </c>
      <c r="C1114" s="4">
        <v>19</v>
      </c>
      <c r="D1114" s="8">
        <v>1.86</v>
      </c>
      <c r="E1114" s="4">
        <v>0</v>
      </c>
      <c r="F1114" s="8">
        <v>0</v>
      </c>
      <c r="G1114" s="4">
        <v>19</v>
      </c>
      <c r="H1114" s="8">
        <v>3.68</v>
      </c>
      <c r="I1114" s="4">
        <v>0</v>
      </c>
    </row>
    <row r="1115" spans="1:9" x14ac:dyDescent="0.2">
      <c r="A1115" s="2">
        <v>12</v>
      </c>
      <c r="B1115" s="1" t="s">
        <v>206</v>
      </c>
      <c r="C1115" s="4">
        <v>17</v>
      </c>
      <c r="D1115" s="8">
        <v>1.66</v>
      </c>
      <c r="E1115" s="4">
        <v>3</v>
      </c>
      <c r="F1115" s="8">
        <v>0.6</v>
      </c>
      <c r="G1115" s="4">
        <v>14</v>
      </c>
      <c r="H1115" s="8">
        <v>2.71</v>
      </c>
      <c r="I1115" s="4">
        <v>0</v>
      </c>
    </row>
    <row r="1116" spans="1:9" x14ac:dyDescent="0.2">
      <c r="A1116" s="2">
        <v>12</v>
      </c>
      <c r="B1116" s="1" t="s">
        <v>221</v>
      </c>
      <c r="C1116" s="4">
        <v>17</v>
      </c>
      <c r="D1116" s="8">
        <v>1.66</v>
      </c>
      <c r="E1116" s="4">
        <v>5</v>
      </c>
      <c r="F1116" s="8">
        <v>1</v>
      </c>
      <c r="G1116" s="4">
        <v>12</v>
      </c>
      <c r="H1116" s="8">
        <v>2.33</v>
      </c>
      <c r="I1116" s="4">
        <v>0</v>
      </c>
    </row>
    <row r="1117" spans="1:9" x14ac:dyDescent="0.2">
      <c r="A1117" s="2">
        <v>14</v>
      </c>
      <c r="B1117" s="1" t="s">
        <v>200</v>
      </c>
      <c r="C1117" s="4">
        <v>15</v>
      </c>
      <c r="D1117" s="8">
        <v>1.47</v>
      </c>
      <c r="E1117" s="4">
        <v>1</v>
      </c>
      <c r="F1117" s="8">
        <v>0.2</v>
      </c>
      <c r="G1117" s="4">
        <v>14</v>
      </c>
      <c r="H1117" s="8">
        <v>2.71</v>
      </c>
      <c r="I1117" s="4">
        <v>0</v>
      </c>
    </row>
    <row r="1118" spans="1:9" x14ac:dyDescent="0.2">
      <c r="A1118" s="2">
        <v>14</v>
      </c>
      <c r="B1118" s="1" t="s">
        <v>158</v>
      </c>
      <c r="C1118" s="4">
        <v>15</v>
      </c>
      <c r="D1118" s="8">
        <v>1.47</v>
      </c>
      <c r="E1118" s="4">
        <v>8</v>
      </c>
      <c r="F1118" s="8">
        <v>1.59</v>
      </c>
      <c r="G1118" s="4">
        <v>7</v>
      </c>
      <c r="H1118" s="8">
        <v>1.36</v>
      </c>
      <c r="I1118" s="4">
        <v>0</v>
      </c>
    </row>
    <row r="1119" spans="1:9" x14ac:dyDescent="0.2">
      <c r="A1119" s="2">
        <v>16</v>
      </c>
      <c r="B1119" s="1" t="s">
        <v>201</v>
      </c>
      <c r="C1119" s="4">
        <v>13</v>
      </c>
      <c r="D1119" s="8">
        <v>1.27</v>
      </c>
      <c r="E1119" s="4">
        <v>4</v>
      </c>
      <c r="F1119" s="8">
        <v>0.8</v>
      </c>
      <c r="G1119" s="4">
        <v>9</v>
      </c>
      <c r="H1119" s="8">
        <v>1.74</v>
      </c>
      <c r="I1119" s="4">
        <v>0</v>
      </c>
    </row>
    <row r="1120" spans="1:9" x14ac:dyDescent="0.2">
      <c r="A1120" s="2">
        <v>16</v>
      </c>
      <c r="B1120" s="1" t="s">
        <v>163</v>
      </c>
      <c r="C1120" s="4">
        <v>13</v>
      </c>
      <c r="D1120" s="8">
        <v>1.27</v>
      </c>
      <c r="E1120" s="4">
        <v>0</v>
      </c>
      <c r="F1120" s="8">
        <v>0</v>
      </c>
      <c r="G1120" s="4">
        <v>13</v>
      </c>
      <c r="H1120" s="8">
        <v>2.52</v>
      </c>
      <c r="I1120" s="4">
        <v>0</v>
      </c>
    </row>
    <row r="1121" spans="1:9" x14ac:dyDescent="0.2">
      <c r="A1121" s="2">
        <v>16</v>
      </c>
      <c r="B1121" s="1" t="s">
        <v>225</v>
      </c>
      <c r="C1121" s="4">
        <v>13</v>
      </c>
      <c r="D1121" s="8">
        <v>1.27</v>
      </c>
      <c r="E1121" s="4">
        <v>8</v>
      </c>
      <c r="F1121" s="8">
        <v>1.59</v>
      </c>
      <c r="G1121" s="4">
        <v>5</v>
      </c>
      <c r="H1121" s="8">
        <v>0.97</v>
      </c>
      <c r="I1121" s="4">
        <v>0</v>
      </c>
    </row>
    <row r="1122" spans="1:9" x14ac:dyDescent="0.2">
      <c r="A1122" s="2">
        <v>19</v>
      </c>
      <c r="B1122" s="1" t="s">
        <v>159</v>
      </c>
      <c r="C1122" s="4">
        <v>12</v>
      </c>
      <c r="D1122" s="8">
        <v>1.17</v>
      </c>
      <c r="E1122" s="4">
        <v>5</v>
      </c>
      <c r="F1122" s="8">
        <v>1</v>
      </c>
      <c r="G1122" s="4">
        <v>7</v>
      </c>
      <c r="H1122" s="8">
        <v>1.36</v>
      </c>
      <c r="I1122" s="4">
        <v>0</v>
      </c>
    </row>
    <row r="1123" spans="1:9" x14ac:dyDescent="0.2">
      <c r="A1123" s="2">
        <v>19</v>
      </c>
      <c r="B1123" s="1" t="s">
        <v>224</v>
      </c>
      <c r="C1123" s="4">
        <v>12</v>
      </c>
      <c r="D1123" s="8">
        <v>1.17</v>
      </c>
      <c r="E1123" s="4">
        <v>7</v>
      </c>
      <c r="F1123" s="8">
        <v>1.39</v>
      </c>
      <c r="G1123" s="4">
        <v>5</v>
      </c>
      <c r="H1123" s="8">
        <v>0.97</v>
      </c>
      <c r="I1123" s="4">
        <v>0</v>
      </c>
    </row>
    <row r="1124" spans="1:9" x14ac:dyDescent="0.2">
      <c r="A1124" s="1"/>
      <c r="C1124" s="4"/>
      <c r="D1124" s="8"/>
      <c r="E1124" s="4"/>
      <c r="F1124" s="8"/>
      <c r="G1124" s="4"/>
      <c r="H1124" s="8"/>
      <c r="I1124" s="4"/>
    </row>
    <row r="1125" spans="1:9" x14ac:dyDescent="0.2">
      <c r="A1125" s="1" t="s">
        <v>50</v>
      </c>
      <c r="C1125" s="4"/>
      <c r="D1125" s="8"/>
      <c r="E1125" s="4"/>
      <c r="F1125" s="8"/>
      <c r="G1125" s="4"/>
      <c r="H1125" s="8"/>
      <c r="I1125" s="4"/>
    </row>
    <row r="1126" spans="1:9" x14ac:dyDescent="0.2">
      <c r="A1126" s="2">
        <v>1</v>
      </c>
      <c r="B1126" s="1" t="s">
        <v>172</v>
      </c>
      <c r="C1126" s="4">
        <v>64</v>
      </c>
      <c r="D1126" s="8">
        <v>4.71</v>
      </c>
      <c r="E1126" s="4">
        <v>61</v>
      </c>
      <c r="F1126" s="8">
        <v>9.15</v>
      </c>
      <c r="G1126" s="4">
        <v>3</v>
      </c>
      <c r="H1126" s="8">
        <v>0.44</v>
      </c>
      <c r="I1126" s="4">
        <v>0</v>
      </c>
    </row>
    <row r="1127" spans="1:9" x14ac:dyDescent="0.2">
      <c r="A1127" s="2">
        <v>2</v>
      </c>
      <c r="B1127" s="1" t="s">
        <v>223</v>
      </c>
      <c r="C1127" s="4">
        <v>46</v>
      </c>
      <c r="D1127" s="8">
        <v>3.38</v>
      </c>
      <c r="E1127" s="4">
        <v>31</v>
      </c>
      <c r="F1127" s="8">
        <v>4.6500000000000004</v>
      </c>
      <c r="G1127" s="4">
        <v>15</v>
      </c>
      <c r="H1127" s="8">
        <v>2.2000000000000002</v>
      </c>
      <c r="I1127" s="4">
        <v>0</v>
      </c>
    </row>
    <row r="1128" spans="1:9" x14ac:dyDescent="0.2">
      <c r="A1128" s="2">
        <v>3</v>
      </c>
      <c r="B1128" s="1" t="s">
        <v>171</v>
      </c>
      <c r="C1128" s="4">
        <v>45</v>
      </c>
      <c r="D1128" s="8">
        <v>3.31</v>
      </c>
      <c r="E1128" s="4">
        <v>44</v>
      </c>
      <c r="F1128" s="8">
        <v>6.6</v>
      </c>
      <c r="G1128" s="4">
        <v>1</v>
      </c>
      <c r="H1128" s="8">
        <v>0.15</v>
      </c>
      <c r="I1128" s="4">
        <v>0</v>
      </c>
    </row>
    <row r="1129" spans="1:9" x14ac:dyDescent="0.2">
      <c r="A1129" s="2">
        <v>4</v>
      </c>
      <c r="B1129" s="1" t="s">
        <v>220</v>
      </c>
      <c r="C1129" s="4">
        <v>40</v>
      </c>
      <c r="D1129" s="8">
        <v>2.94</v>
      </c>
      <c r="E1129" s="4">
        <v>9</v>
      </c>
      <c r="F1129" s="8">
        <v>1.35</v>
      </c>
      <c r="G1129" s="4">
        <v>31</v>
      </c>
      <c r="H1129" s="8">
        <v>4.55</v>
      </c>
      <c r="I1129" s="4">
        <v>0</v>
      </c>
    </row>
    <row r="1130" spans="1:9" x14ac:dyDescent="0.2">
      <c r="A1130" s="2">
        <v>5</v>
      </c>
      <c r="B1130" s="1" t="s">
        <v>168</v>
      </c>
      <c r="C1130" s="4">
        <v>38</v>
      </c>
      <c r="D1130" s="8">
        <v>2.79</v>
      </c>
      <c r="E1130" s="4">
        <v>34</v>
      </c>
      <c r="F1130" s="8">
        <v>5.0999999999999996</v>
      </c>
      <c r="G1130" s="4">
        <v>4</v>
      </c>
      <c r="H1130" s="8">
        <v>0.59</v>
      </c>
      <c r="I1130" s="4">
        <v>0</v>
      </c>
    </row>
    <row r="1131" spans="1:9" x14ac:dyDescent="0.2">
      <c r="A1131" s="2">
        <v>6</v>
      </c>
      <c r="B1131" s="1" t="s">
        <v>221</v>
      </c>
      <c r="C1131" s="4">
        <v>35</v>
      </c>
      <c r="D1131" s="8">
        <v>2.57</v>
      </c>
      <c r="E1131" s="4">
        <v>18</v>
      </c>
      <c r="F1131" s="8">
        <v>2.7</v>
      </c>
      <c r="G1131" s="4">
        <v>17</v>
      </c>
      <c r="H1131" s="8">
        <v>2.5</v>
      </c>
      <c r="I1131" s="4">
        <v>0</v>
      </c>
    </row>
    <row r="1132" spans="1:9" x14ac:dyDescent="0.2">
      <c r="A1132" s="2">
        <v>7</v>
      </c>
      <c r="B1132" s="1" t="s">
        <v>192</v>
      </c>
      <c r="C1132" s="4">
        <v>33</v>
      </c>
      <c r="D1132" s="8">
        <v>2.4300000000000002</v>
      </c>
      <c r="E1132" s="4">
        <v>8</v>
      </c>
      <c r="F1132" s="8">
        <v>1.2</v>
      </c>
      <c r="G1132" s="4">
        <v>25</v>
      </c>
      <c r="H1132" s="8">
        <v>3.67</v>
      </c>
      <c r="I1132" s="4">
        <v>0</v>
      </c>
    </row>
    <row r="1133" spans="1:9" x14ac:dyDescent="0.2">
      <c r="A1133" s="2">
        <v>8</v>
      </c>
      <c r="B1133" s="1" t="s">
        <v>158</v>
      </c>
      <c r="C1133" s="4">
        <v>29</v>
      </c>
      <c r="D1133" s="8">
        <v>2.13</v>
      </c>
      <c r="E1133" s="4">
        <v>19</v>
      </c>
      <c r="F1133" s="8">
        <v>2.85</v>
      </c>
      <c r="G1133" s="4">
        <v>10</v>
      </c>
      <c r="H1133" s="8">
        <v>1.47</v>
      </c>
      <c r="I1133" s="4">
        <v>0</v>
      </c>
    </row>
    <row r="1134" spans="1:9" x14ac:dyDescent="0.2">
      <c r="A1134" s="2">
        <v>8</v>
      </c>
      <c r="B1134" s="1" t="s">
        <v>175</v>
      </c>
      <c r="C1134" s="4">
        <v>29</v>
      </c>
      <c r="D1134" s="8">
        <v>2.13</v>
      </c>
      <c r="E1134" s="4">
        <v>26</v>
      </c>
      <c r="F1134" s="8">
        <v>3.9</v>
      </c>
      <c r="G1134" s="4">
        <v>3</v>
      </c>
      <c r="H1134" s="8">
        <v>0.44</v>
      </c>
      <c r="I1134" s="4">
        <v>0</v>
      </c>
    </row>
    <row r="1135" spans="1:9" x14ac:dyDescent="0.2">
      <c r="A1135" s="2">
        <v>10</v>
      </c>
      <c r="B1135" s="1" t="s">
        <v>169</v>
      </c>
      <c r="C1135" s="4">
        <v>28</v>
      </c>
      <c r="D1135" s="8">
        <v>2.06</v>
      </c>
      <c r="E1135" s="4">
        <v>25</v>
      </c>
      <c r="F1135" s="8">
        <v>3.75</v>
      </c>
      <c r="G1135" s="4">
        <v>3</v>
      </c>
      <c r="H1135" s="8">
        <v>0.44</v>
      </c>
      <c r="I1135" s="4">
        <v>0</v>
      </c>
    </row>
    <row r="1136" spans="1:9" x14ac:dyDescent="0.2">
      <c r="A1136" s="2">
        <v>11</v>
      </c>
      <c r="B1136" s="1" t="s">
        <v>159</v>
      </c>
      <c r="C1136" s="4">
        <v>26</v>
      </c>
      <c r="D1136" s="8">
        <v>1.91</v>
      </c>
      <c r="E1136" s="4">
        <v>14</v>
      </c>
      <c r="F1136" s="8">
        <v>2.1</v>
      </c>
      <c r="G1136" s="4">
        <v>12</v>
      </c>
      <c r="H1136" s="8">
        <v>1.76</v>
      </c>
      <c r="I1136" s="4">
        <v>0</v>
      </c>
    </row>
    <row r="1137" spans="1:9" x14ac:dyDescent="0.2">
      <c r="A1137" s="2">
        <v>12</v>
      </c>
      <c r="B1137" s="1" t="s">
        <v>206</v>
      </c>
      <c r="C1137" s="4">
        <v>24</v>
      </c>
      <c r="D1137" s="8">
        <v>1.76</v>
      </c>
      <c r="E1137" s="4">
        <v>4</v>
      </c>
      <c r="F1137" s="8">
        <v>0.6</v>
      </c>
      <c r="G1137" s="4">
        <v>20</v>
      </c>
      <c r="H1137" s="8">
        <v>2.94</v>
      </c>
      <c r="I1137" s="4">
        <v>0</v>
      </c>
    </row>
    <row r="1138" spans="1:9" x14ac:dyDescent="0.2">
      <c r="A1138" s="2">
        <v>12</v>
      </c>
      <c r="B1138" s="1" t="s">
        <v>226</v>
      </c>
      <c r="C1138" s="4">
        <v>24</v>
      </c>
      <c r="D1138" s="8">
        <v>1.76</v>
      </c>
      <c r="E1138" s="4">
        <v>8</v>
      </c>
      <c r="F1138" s="8">
        <v>1.2</v>
      </c>
      <c r="G1138" s="4">
        <v>16</v>
      </c>
      <c r="H1138" s="8">
        <v>2.35</v>
      </c>
      <c r="I1138" s="4">
        <v>0</v>
      </c>
    </row>
    <row r="1139" spans="1:9" x14ac:dyDescent="0.2">
      <c r="A1139" s="2">
        <v>12</v>
      </c>
      <c r="B1139" s="1" t="s">
        <v>201</v>
      </c>
      <c r="C1139" s="4">
        <v>24</v>
      </c>
      <c r="D1139" s="8">
        <v>1.76</v>
      </c>
      <c r="E1139" s="4">
        <v>4</v>
      </c>
      <c r="F1139" s="8">
        <v>0.6</v>
      </c>
      <c r="G1139" s="4">
        <v>20</v>
      </c>
      <c r="H1139" s="8">
        <v>2.94</v>
      </c>
      <c r="I1139" s="4">
        <v>0</v>
      </c>
    </row>
    <row r="1140" spans="1:9" x14ac:dyDescent="0.2">
      <c r="A1140" s="2">
        <v>15</v>
      </c>
      <c r="B1140" s="1" t="s">
        <v>160</v>
      </c>
      <c r="C1140" s="4">
        <v>21</v>
      </c>
      <c r="D1140" s="8">
        <v>1.54</v>
      </c>
      <c r="E1140" s="4">
        <v>7</v>
      </c>
      <c r="F1140" s="8">
        <v>1.05</v>
      </c>
      <c r="G1140" s="4">
        <v>14</v>
      </c>
      <c r="H1140" s="8">
        <v>2.06</v>
      </c>
      <c r="I1140" s="4">
        <v>0</v>
      </c>
    </row>
    <row r="1141" spans="1:9" x14ac:dyDescent="0.2">
      <c r="A1141" s="2">
        <v>16</v>
      </c>
      <c r="B1141" s="1" t="s">
        <v>205</v>
      </c>
      <c r="C1141" s="4">
        <v>20</v>
      </c>
      <c r="D1141" s="8">
        <v>1.47</v>
      </c>
      <c r="E1141" s="4">
        <v>14</v>
      </c>
      <c r="F1141" s="8">
        <v>2.1</v>
      </c>
      <c r="G1141" s="4">
        <v>6</v>
      </c>
      <c r="H1141" s="8">
        <v>0.88</v>
      </c>
      <c r="I1141" s="4">
        <v>0</v>
      </c>
    </row>
    <row r="1142" spans="1:9" x14ac:dyDescent="0.2">
      <c r="A1142" s="2">
        <v>16</v>
      </c>
      <c r="B1142" s="1" t="s">
        <v>198</v>
      </c>
      <c r="C1142" s="4">
        <v>20</v>
      </c>
      <c r="D1142" s="8">
        <v>1.47</v>
      </c>
      <c r="E1142" s="4">
        <v>6</v>
      </c>
      <c r="F1142" s="8">
        <v>0.9</v>
      </c>
      <c r="G1142" s="4">
        <v>14</v>
      </c>
      <c r="H1142" s="8">
        <v>2.06</v>
      </c>
      <c r="I1142" s="4">
        <v>0</v>
      </c>
    </row>
    <row r="1143" spans="1:9" x14ac:dyDescent="0.2">
      <c r="A1143" s="2">
        <v>16</v>
      </c>
      <c r="B1143" s="1" t="s">
        <v>173</v>
      </c>
      <c r="C1143" s="4">
        <v>20</v>
      </c>
      <c r="D1143" s="8">
        <v>1.47</v>
      </c>
      <c r="E1143" s="4">
        <v>15</v>
      </c>
      <c r="F1143" s="8">
        <v>2.25</v>
      </c>
      <c r="G1143" s="4">
        <v>5</v>
      </c>
      <c r="H1143" s="8">
        <v>0.73</v>
      </c>
      <c r="I1143" s="4">
        <v>0</v>
      </c>
    </row>
    <row r="1144" spans="1:9" x14ac:dyDescent="0.2">
      <c r="A1144" s="2">
        <v>16</v>
      </c>
      <c r="B1144" s="1" t="s">
        <v>224</v>
      </c>
      <c r="C1144" s="4">
        <v>20</v>
      </c>
      <c r="D1144" s="8">
        <v>1.47</v>
      </c>
      <c r="E1144" s="4">
        <v>9</v>
      </c>
      <c r="F1144" s="8">
        <v>1.35</v>
      </c>
      <c r="G1144" s="4">
        <v>11</v>
      </c>
      <c r="H1144" s="8">
        <v>1.62</v>
      </c>
      <c r="I1144" s="4">
        <v>0</v>
      </c>
    </row>
    <row r="1145" spans="1:9" x14ac:dyDescent="0.2">
      <c r="A1145" s="2">
        <v>20</v>
      </c>
      <c r="B1145" s="1" t="s">
        <v>195</v>
      </c>
      <c r="C1145" s="4">
        <v>19</v>
      </c>
      <c r="D1145" s="8">
        <v>1.4</v>
      </c>
      <c r="E1145" s="4">
        <v>4</v>
      </c>
      <c r="F1145" s="8">
        <v>0.6</v>
      </c>
      <c r="G1145" s="4">
        <v>15</v>
      </c>
      <c r="H1145" s="8">
        <v>2.2000000000000002</v>
      </c>
      <c r="I1145" s="4">
        <v>0</v>
      </c>
    </row>
    <row r="1146" spans="1:9" x14ac:dyDescent="0.2">
      <c r="A1146" s="2">
        <v>20</v>
      </c>
      <c r="B1146" s="1" t="s">
        <v>167</v>
      </c>
      <c r="C1146" s="4">
        <v>19</v>
      </c>
      <c r="D1146" s="8">
        <v>1.4</v>
      </c>
      <c r="E1146" s="4">
        <v>7</v>
      </c>
      <c r="F1146" s="8">
        <v>1.05</v>
      </c>
      <c r="G1146" s="4">
        <v>12</v>
      </c>
      <c r="H1146" s="8">
        <v>1.76</v>
      </c>
      <c r="I1146" s="4">
        <v>0</v>
      </c>
    </row>
    <row r="1147" spans="1:9" x14ac:dyDescent="0.2">
      <c r="A1147" s="1"/>
      <c r="C1147" s="4"/>
      <c r="D1147" s="8"/>
      <c r="E1147" s="4"/>
      <c r="F1147" s="8"/>
      <c r="G1147" s="4"/>
      <c r="H1147" s="8"/>
      <c r="I1147" s="4"/>
    </row>
    <row r="1148" spans="1:9" x14ac:dyDescent="0.2">
      <c r="A1148" s="1" t="s">
        <v>51</v>
      </c>
      <c r="C1148" s="4"/>
      <c r="D1148" s="8"/>
      <c r="E1148" s="4"/>
      <c r="F1148" s="8"/>
      <c r="G1148" s="4"/>
      <c r="H1148" s="8"/>
      <c r="I1148" s="4"/>
    </row>
    <row r="1149" spans="1:9" x14ac:dyDescent="0.2">
      <c r="A1149" s="2">
        <v>1</v>
      </c>
      <c r="B1149" s="1" t="s">
        <v>162</v>
      </c>
      <c r="C1149" s="4">
        <v>191</v>
      </c>
      <c r="D1149" s="8">
        <v>6.72</v>
      </c>
      <c r="E1149" s="4">
        <v>72</v>
      </c>
      <c r="F1149" s="8">
        <v>5.95</v>
      </c>
      <c r="G1149" s="4">
        <v>119</v>
      </c>
      <c r="H1149" s="8">
        <v>7.35</v>
      </c>
      <c r="I1149" s="4">
        <v>0</v>
      </c>
    </row>
    <row r="1150" spans="1:9" x14ac:dyDescent="0.2">
      <c r="A1150" s="2">
        <v>2</v>
      </c>
      <c r="B1150" s="1" t="s">
        <v>172</v>
      </c>
      <c r="C1150" s="4">
        <v>123</v>
      </c>
      <c r="D1150" s="8">
        <v>4.33</v>
      </c>
      <c r="E1150" s="4">
        <v>98</v>
      </c>
      <c r="F1150" s="8">
        <v>8.1</v>
      </c>
      <c r="G1150" s="4">
        <v>25</v>
      </c>
      <c r="H1150" s="8">
        <v>1.54</v>
      </c>
      <c r="I1150" s="4">
        <v>0</v>
      </c>
    </row>
    <row r="1151" spans="1:9" x14ac:dyDescent="0.2">
      <c r="A1151" s="2">
        <v>3</v>
      </c>
      <c r="B1151" s="1" t="s">
        <v>175</v>
      </c>
      <c r="C1151" s="4">
        <v>105</v>
      </c>
      <c r="D1151" s="8">
        <v>3.69</v>
      </c>
      <c r="E1151" s="4">
        <v>92</v>
      </c>
      <c r="F1151" s="8">
        <v>7.6</v>
      </c>
      <c r="G1151" s="4">
        <v>13</v>
      </c>
      <c r="H1151" s="8">
        <v>0.8</v>
      </c>
      <c r="I1151" s="4">
        <v>0</v>
      </c>
    </row>
    <row r="1152" spans="1:9" x14ac:dyDescent="0.2">
      <c r="A1152" s="2">
        <v>4</v>
      </c>
      <c r="B1152" s="1" t="s">
        <v>173</v>
      </c>
      <c r="C1152" s="4">
        <v>95</v>
      </c>
      <c r="D1152" s="8">
        <v>3.34</v>
      </c>
      <c r="E1152" s="4">
        <v>71</v>
      </c>
      <c r="F1152" s="8">
        <v>5.87</v>
      </c>
      <c r="G1152" s="4">
        <v>24</v>
      </c>
      <c r="H1152" s="8">
        <v>1.48</v>
      </c>
      <c r="I1152" s="4">
        <v>0</v>
      </c>
    </row>
    <row r="1153" spans="1:9" x14ac:dyDescent="0.2">
      <c r="A1153" s="2">
        <v>5</v>
      </c>
      <c r="B1153" s="1" t="s">
        <v>171</v>
      </c>
      <c r="C1153" s="4">
        <v>80</v>
      </c>
      <c r="D1153" s="8">
        <v>2.81</v>
      </c>
      <c r="E1153" s="4">
        <v>69</v>
      </c>
      <c r="F1153" s="8">
        <v>5.7</v>
      </c>
      <c r="G1153" s="4">
        <v>11</v>
      </c>
      <c r="H1153" s="8">
        <v>0.68</v>
      </c>
      <c r="I1153" s="4">
        <v>0</v>
      </c>
    </row>
    <row r="1154" spans="1:9" x14ac:dyDescent="0.2">
      <c r="A1154" s="2">
        <v>6</v>
      </c>
      <c r="B1154" s="1" t="s">
        <v>169</v>
      </c>
      <c r="C1154" s="4">
        <v>76</v>
      </c>
      <c r="D1154" s="8">
        <v>2.67</v>
      </c>
      <c r="E1154" s="4">
        <v>67</v>
      </c>
      <c r="F1154" s="8">
        <v>5.54</v>
      </c>
      <c r="G1154" s="4">
        <v>9</v>
      </c>
      <c r="H1154" s="8">
        <v>0.56000000000000005</v>
      </c>
      <c r="I1154" s="4">
        <v>0</v>
      </c>
    </row>
    <row r="1155" spans="1:9" x14ac:dyDescent="0.2">
      <c r="A1155" s="2">
        <v>7</v>
      </c>
      <c r="B1155" s="1" t="s">
        <v>163</v>
      </c>
      <c r="C1155" s="4">
        <v>70</v>
      </c>
      <c r="D1155" s="8">
        <v>2.46</v>
      </c>
      <c r="E1155" s="4">
        <v>4</v>
      </c>
      <c r="F1155" s="8">
        <v>0.33</v>
      </c>
      <c r="G1155" s="4">
        <v>66</v>
      </c>
      <c r="H1155" s="8">
        <v>4.08</v>
      </c>
      <c r="I1155" s="4">
        <v>0</v>
      </c>
    </row>
    <row r="1156" spans="1:9" x14ac:dyDescent="0.2">
      <c r="A1156" s="2">
        <v>7</v>
      </c>
      <c r="B1156" s="1" t="s">
        <v>197</v>
      </c>
      <c r="C1156" s="4">
        <v>70</v>
      </c>
      <c r="D1156" s="8">
        <v>2.46</v>
      </c>
      <c r="E1156" s="4">
        <v>41</v>
      </c>
      <c r="F1156" s="8">
        <v>3.39</v>
      </c>
      <c r="G1156" s="4">
        <v>29</v>
      </c>
      <c r="H1156" s="8">
        <v>1.79</v>
      </c>
      <c r="I1156" s="4">
        <v>0</v>
      </c>
    </row>
    <row r="1157" spans="1:9" x14ac:dyDescent="0.2">
      <c r="A1157" s="2">
        <v>9</v>
      </c>
      <c r="B1157" s="1" t="s">
        <v>158</v>
      </c>
      <c r="C1157" s="4">
        <v>68</v>
      </c>
      <c r="D1157" s="8">
        <v>2.39</v>
      </c>
      <c r="E1157" s="4">
        <v>41</v>
      </c>
      <c r="F1157" s="8">
        <v>3.39</v>
      </c>
      <c r="G1157" s="4">
        <v>27</v>
      </c>
      <c r="H1157" s="8">
        <v>1.67</v>
      </c>
      <c r="I1157" s="4">
        <v>0</v>
      </c>
    </row>
    <row r="1158" spans="1:9" x14ac:dyDescent="0.2">
      <c r="A1158" s="2">
        <v>10</v>
      </c>
      <c r="B1158" s="1" t="s">
        <v>168</v>
      </c>
      <c r="C1158" s="4">
        <v>65</v>
      </c>
      <c r="D1158" s="8">
        <v>2.29</v>
      </c>
      <c r="E1158" s="4">
        <v>50</v>
      </c>
      <c r="F1158" s="8">
        <v>4.13</v>
      </c>
      <c r="G1158" s="4">
        <v>15</v>
      </c>
      <c r="H1158" s="8">
        <v>0.93</v>
      </c>
      <c r="I1158" s="4">
        <v>0</v>
      </c>
    </row>
    <row r="1159" spans="1:9" x14ac:dyDescent="0.2">
      <c r="A1159" s="2">
        <v>11</v>
      </c>
      <c r="B1159" s="1" t="s">
        <v>170</v>
      </c>
      <c r="C1159" s="4">
        <v>51</v>
      </c>
      <c r="D1159" s="8">
        <v>1.79</v>
      </c>
      <c r="E1159" s="4">
        <v>47</v>
      </c>
      <c r="F1159" s="8">
        <v>3.88</v>
      </c>
      <c r="G1159" s="4">
        <v>4</v>
      </c>
      <c r="H1159" s="8">
        <v>0.25</v>
      </c>
      <c r="I1159" s="4">
        <v>0</v>
      </c>
    </row>
    <row r="1160" spans="1:9" x14ac:dyDescent="0.2">
      <c r="A1160" s="2">
        <v>12</v>
      </c>
      <c r="B1160" s="1" t="s">
        <v>200</v>
      </c>
      <c r="C1160" s="4">
        <v>48</v>
      </c>
      <c r="D1160" s="8">
        <v>1.69</v>
      </c>
      <c r="E1160" s="4">
        <v>4</v>
      </c>
      <c r="F1160" s="8">
        <v>0.33</v>
      </c>
      <c r="G1160" s="4">
        <v>44</v>
      </c>
      <c r="H1160" s="8">
        <v>2.72</v>
      </c>
      <c r="I1160" s="4">
        <v>0</v>
      </c>
    </row>
    <row r="1161" spans="1:9" x14ac:dyDescent="0.2">
      <c r="A1161" s="2">
        <v>12</v>
      </c>
      <c r="B1161" s="1" t="s">
        <v>160</v>
      </c>
      <c r="C1161" s="4">
        <v>48</v>
      </c>
      <c r="D1161" s="8">
        <v>1.69</v>
      </c>
      <c r="E1161" s="4">
        <v>4</v>
      </c>
      <c r="F1161" s="8">
        <v>0.33</v>
      </c>
      <c r="G1161" s="4">
        <v>44</v>
      </c>
      <c r="H1161" s="8">
        <v>2.72</v>
      </c>
      <c r="I1161" s="4">
        <v>0</v>
      </c>
    </row>
    <row r="1162" spans="1:9" x14ac:dyDescent="0.2">
      <c r="A1162" s="2">
        <v>14</v>
      </c>
      <c r="B1162" s="1" t="s">
        <v>225</v>
      </c>
      <c r="C1162" s="4">
        <v>47</v>
      </c>
      <c r="D1162" s="8">
        <v>1.65</v>
      </c>
      <c r="E1162" s="4">
        <v>31</v>
      </c>
      <c r="F1162" s="8">
        <v>2.56</v>
      </c>
      <c r="G1162" s="4">
        <v>16</v>
      </c>
      <c r="H1162" s="8">
        <v>0.99</v>
      </c>
      <c r="I1162" s="4">
        <v>0</v>
      </c>
    </row>
    <row r="1163" spans="1:9" x14ac:dyDescent="0.2">
      <c r="A1163" s="2">
        <v>15</v>
      </c>
      <c r="B1163" s="1" t="s">
        <v>195</v>
      </c>
      <c r="C1163" s="4">
        <v>46</v>
      </c>
      <c r="D1163" s="8">
        <v>1.62</v>
      </c>
      <c r="E1163" s="4">
        <v>9</v>
      </c>
      <c r="F1163" s="8">
        <v>0.74</v>
      </c>
      <c r="G1163" s="4">
        <v>37</v>
      </c>
      <c r="H1163" s="8">
        <v>2.29</v>
      </c>
      <c r="I1163" s="4">
        <v>0</v>
      </c>
    </row>
    <row r="1164" spans="1:9" x14ac:dyDescent="0.2">
      <c r="A1164" s="2">
        <v>15</v>
      </c>
      <c r="B1164" s="1" t="s">
        <v>166</v>
      </c>
      <c r="C1164" s="4">
        <v>46</v>
      </c>
      <c r="D1164" s="8">
        <v>1.62</v>
      </c>
      <c r="E1164" s="4">
        <v>3</v>
      </c>
      <c r="F1164" s="8">
        <v>0.25</v>
      </c>
      <c r="G1164" s="4">
        <v>43</v>
      </c>
      <c r="H1164" s="8">
        <v>2.66</v>
      </c>
      <c r="I1164" s="4">
        <v>0</v>
      </c>
    </row>
    <row r="1165" spans="1:9" x14ac:dyDescent="0.2">
      <c r="A1165" s="2">
        <v>17</v>
      </c>
      <c r="B1165" s="1" t="s">
        <v>201</v>
      </c>
      <c r="C1165" s="4">
        <v>43</v>
      </c>
      <c r="D1165" s="8">
        <v>1.51</v>
      </c>
      <c r="E1165" s="4">
        <v>5</v>
      </c>
      <c r="F1165" s="8">
        <v>0.41</v>
      </c>
      <c r="G1165" s="4">
        <v>38</v>
      </c>
      <c r="H1165" s="8">
        <v>2.35</v>
      </c>
      <c r="I1165" s="4">
        <v>0</v>
      </c>
    </row>
    <row r="1166" spans="1:9" x14ac:dyDescent="0.2">
      <c r="A1166" s="2">
        <v>17</v>
      </c>
      <c r="B1166" s="1" t="s">
        <v>167</v>
      </c>
      <c r="C1166" s="4">
        <v>43</v>
      </c>
      <c r="D1166" s="8">
        <v>1.51</v>
      </c>
      <c r="E1166" s="4">
        <v>5</v>
      </c>
      <c r="F1166" s="8">
        <v>0.41</v>
      </c>
      <c r="G1166" s="4">
        <v>38</v>
      </c>
      <c r="H1166" s="8">
        <v>2.35</v>
      </c>
      <c r="I1166" s="4">
        <v>0</v>
      </c>
    </row>
    <row r="1167" spans="1:9" x14ac:dyDescent="0.2">
      <c r="A1167" s="2">
        <v>17</v>
      </c>
      <c r="B1167" s="1" t="s">
        <v>174</v>
      </c>
      <c r="C1167" s="4">
        <v>43</v>
      </c>
      <c r="D1167" s="8">
        <v>1.51</v>
      </c>
      <c r="E1167" s="4">
        <v>40</v>
      </c>
      <c r="F1167" s="8">
        <v>3.31</v>
      </c>
      <c r="G1167" s="4">
        <v>3</v>
      </c>
      <c r="H1167" s="8">
        <v>0.19</v>
      </c>
      <c r="I1167" s="4">
        <v>0</v>
      </c>
    </row>
    <row r="1168" spans="1:9" x14ac:dyDescent="0.2">
      <c r="A1168" s="2">
        <v>20</v>
      </c>
      <c r="B1168" s="1" t="s">
        <v>159</v>
      </c>
      <c r="C1168" s="4">
        <v>39</v>
      </c>
      <c r="D1168" s="8">
        <v>1.37</v>
      </c>
      <c r="E1168" s="4">
        <v>21</v>
      </c>
      <c r="F1168" s="8">
        <v>1.74</v>
      </c>
      <c r="G1168" s="4">
        <v>18</v>
      </c>
      <c r="H1168" s="8">
        <v>1.1100000000000001</v>
      </c>
      <c r="I1168" s="4">
        <v>0</v>
      </c>
    </row>
    <row r="1169" spans="1:9" x14ac:dyDescent="0.2">
      <c r="A1169" s="2">
        <v>20</v>
      </c>
      <c r="B1169" s="1" t="s">
        <v>161</v>
      </c>
      <c r="C1169" s="4">
        <v>39</v>
      </c>
      <c r="D1169" s="8">
        <v>1.37</v>
      </c>
      <c r="E1169" s="4">
        <v>6</v>
      </c>
      <c r="F1169" s="8">
        <v>0.5</v>
      </c>
      <c r="G1169" s="4">
        <v>33</v>
      </c>
      <c r="H1169" s="8">
        <v>2.04</v>
      </c>
      <c r="I1169" s="4">
        <v>0</v>
      </c>
    </row>
    <row r="1170" spans="1:9" x14ac:dyDescent="0.2">
      <c r="A1170" s="1"/>
      <c r="C1170" s="4"/>
      <c r="D1170" s="8"/>
      <c r="E1170" s="4"/>
      <c r="F1170" s="8"/>
      <c r="G1170" s="4"/>
      <c r="H1170" s="8"/>
      <c r="I1170" s="4"/>
    </row>
    <row r="1171" spans="1:9" x14ac:dyDescent="0.2">
      <c r="A1171" s="1" t="s">
        <v>52</v>
      </c>
      <c r="C1171" s="4"/>
      <c r="D1171" s="8"/>
      <c r="E1171" s="4"/>
      <c r="F1171" s="8"/>
      <c r="G1171" s="4"/>
      <c r="H1171" s="8"/>
      <c r="I1171" s="4"/>
    </row>
    <row r="1172" spans="1:9" x14ac:dyDescent="0.2">
      <c r="A1172" s="2">
        <v>1</v>
      </c>
      <c r="B1172" s="1" t="s">
        <v>221</v>
      </c>
      <c r="C1172" s="4">
        <v>42</v>
      </c>
      <c r="D1172" s="8">
        <v>4.38</v>
      </c>
      <c r="E1172" s="4">
        <v>18</v>
      </c>
      <c r="F1172" s="8">
        <v>5.66</v>
      </c>
      <c r="G1172" s="4">
        <v>24</v>
      </c>
      <c r="H1172" s="8">
        <v>3.77</v>
      </c>
      <c r="I1172" s="4">
        <v>0</v>
      </c>
    </row>
    <row r="1173" spans="1:9" x14ac:dyDescent="0.2">
      <c r="A1173" s="2">
        <v>2</v>
      </c>
      <c r="B1173" s="1" t="s">
        <v>210</v>
      </c>
      <c r="C1173" s="4">
        <v>38</v>
      </c>
      <c r="D1173" s="8">
        <v>3.97</v>
      </c>
      <c r="E1173" s="4">
        <v>9</v>
      </c>
      <c r="F1173" s="8">
        <v>2.83</v>
      </c>
      <c r="G1173" s="4">
        <v>29</v>
      </c>
      <c r="H1173" s="8">
        <v>4.55</v>
      </c>
      <c r="I1173" s="4">
        <v>0</v>
      </c>
    </row>
    <row r="1174" spans="1:9" x14ac:dyDescent="0.2">
      <c r="A1174" s="2">
        <v>3</v>
      </c>
      <c r="B1174" s="1" t="s">
        <v>224</v>
      </c>
      <c r="C1174" s="4">
        <v>36</v>
      </c>
      <c r="D1174" s="8">
        <v>3.76</v>
      </c>
      <c r="E1174" s="4">
        <v>18</v>
      </c>
      <c r="F1174" s="8">
        <v>5.66</v>
      </c>
      <c r="G1174" s="4">
        <v>18</v>
      </c>
      <c r="H1174" s="8">
        <v>2.83</v>
      </c>
      <c r="I1174" s="4">
        <v>0</v>
      </c>
    </row>
    <row r="1175" spans="1:9" x14ac:dyDescent="0.2">
      <c r="A1175" s="2">
        <v>4</v>
      </c>
      <c r="B1175" s="1" t="s">
        <v>162</v>
      </c>
      <c r="C1175" s="4">
        <v>22</v>
      </c>
      <c r="D1175" s="8">
        <v>2.2999999999999998</v>
      </c>
      <c r="E1175" s="4">
        <v>1</v>
      </c>
      <c r="F1175" s="8">
        <v>0.31</v>
      </c>
      <c r="G1175" s="4">
        <v>21</v>
      </c>
      <c r="H1175" s="8">
        <v>3.3</v>
      </c>
      <c r="I1175" s="4">
        <v>0</v>
      </c>
    </row>
    <row r="1176" spans="1:9" x14ac:dyDescent="0.2">
      <c r="A1176" s="2">
        <v>5</v>
      </c>
      <c r="B1176" s="1" t="s">
        <v>171</v>
      </c>
      <c r="C1176" s="4">
        <v>19</v>
      </c>
      <c r="D1176" s="8">
        <v>1.98</v>
      </c>
      <c r="E1176" s="4">
        <v>19</v>
      </c>
      <c r="F1176" s="8">
        <v>5.97</v>
      </c>
      <c r="G1176" s="4">
        <v>0</v>
      </c>
      <c r="H1176" s="8">
        <v>0</v>
      </c>
      <c r="I1176" s="4">
        <v>0</v>
      </c>
    </row>
    <row r="1177" spans="1:9" x14ac:dyDescent="0.2">
      <c r="A1177" s="2">
        <v>6</v>
      </c>
      <c r="B1177" s="1" t="s">
        <v>172</v>
      </c>
      <c r="C1177" s="4">
        <v>18</v>
      </c>
      <c r="D1177" s="8">
        <v>1.88</v>
      </c>
      <c r="E1177" s="4">
        <v>17</v>
      </c>
      <c r="F1177" s="8">
        <v>5.35</v>
      </c>
      <c r="G1177" s="4">
        <v>1</v>
      </c>
      <c r="H1177" s="8">
        <v>0.16</v>
      </c>
      <c r="I1177" s="4">
        <v>0</v>
      </c>
    </row>
    <row r="1178" spans="1:9" x14ac:dyDescent="0.2">
      <c r="A1178" s="2">
        <v>7</v>
      </c>
      <c r="B1178" s="1" t="s">
        <v>208</v>
      </c>
      <c r="C1178" s="4">
        <v>17</v>
      </c>
      <c r="D1178" s="8">
        <v>1.77</v>
      </c>
      <c r="E1178" s="4">
        <v>4</v>
      </c>
      <c r="F1178" s="8">
        <v>1.26</v>
      </c>
      <c r="G1178" s="4">
        <v>13</v>
      </c>
      <c r="H1178" s="8">
        <v>2.04</v>
      </c>
      <c r="I1178" s="4">
        <v>0</v>
      </c>
    </row>
    <row r="1179" spans="1:9" x14ac:dyDescent="0.2">
      <c r="A1179" s="2">
        <v>8</v>
      </c>
      <c r="B1179" s="1" t="s">
        <v>206</v>
      </c>
      <c r="C1179" s="4">
        <v>16</v>
      </c>
      <c r="D1179" s="8">
        <v>1.67</v>
      </c>
      <c r="E1179" s="4">
        <v>2</v>
      </c>
      <c r="F1179" s="8">
        <v>0.63</v>
      </c>
      <c r="G1179" s="4">
        <v>14</v>
      </c>
      <c r="H1179" s="8">
        <v>2.2000000000000002</v>
      </c>
      <c r="I1179" s="4">
        <v>0</v>
      </c>
    </row>
    <row r="1180" spans="1:9" x14ac:dyDescent="0.2">
      <c r="A1180" s="2">
        <v>9</v>
      </c>
      <c r="B1180" s="1" t="s">
        <v>220</v>
      </c>
      <c r="C1180" s="4">
        <v>15</v>
      </c>
      <c r="D1180" s="8">
        <v>1.57</v>
      </c>
      <c r="E1180" s="4">
        <v>1</v>
      </c>
      <c r="F1180" s="8">
        <v>0.31</v>
      </c>
      <c r="G1180" s="4">
        <v>14</v>
      </c>
      <c r="H1180" s="8">
        <v>2.2000000000000002</v>
      </c>
      <c r="I1180" s="4">
        <v>0</v>
      </c>
    </row>
    <row r="1181" spans="1:9" x14ac:dyDescent="0.2">
      <c r="A1181" s="2">
        <v>9</v>
      </c>
      <c r="B1181" s="1" t="s">
        <v>223</v>
      </c>
      <c r="C1181" s="4">
        <v>15</v>
      </c>
      <c r="D1181" s="8">
        <v>1.57</v>
      </c>
      <c r="E1181" s="4">
        <v>9</v>
      </c>
      <c r="F1181" s="8">
        <v>2.83</v>
      </c>
      <c r="G1181" s="4">
        <v>6</v>
      </c>
      <c r="H1181" s="8">
        <v>0.94</v>
      </c>
      <c r="I1181" s="4">
        <v>0</v>
      </c>
    </row>
    <row r="1182" spans="1:9" x14ac:dyDescent="0.2">
      <c r="A1182" s="2">
        <v>9</v>
      </c>
      <c r="B1182" s="1" t="s">
        <v>227</v>
      </c>
      <c r="C1182" s="4">
        <v>15</v>
      </c>
      <c r="D1182" s="8">
        <v>1.57</v>
      </c>
      <c r="E1182" s="4">
        <v>5</v>
      </c>
      <c r="F1182" s="8">
        <v>1.57</v>
      </c>
      <c r="G1182" s="4">
        <v>10</v>
      </c>
      <c r="H1182" s="8">
        <v>1.57</v>
      </c>
      <c r="I1182" s="4">
        <v>0</v>
      </c>
    </row>
    <row r="1183" spans="1:9" x14ac:dyDescent="0.2">
      <c r="A1183" s="2">
        <v>9</v>
      </c>
      <c r="B1183" s="1" t="s">
        <v>192</v>
      </c>
      <c r="C1183" s="4">
        <v>15</v>
      </c>
      <c r="D1183" s="8">
        <v>1.57</v>
      </c>
      <c r="E1183" s="4">
        <v>4</v>
      </c>
      <c r="F1183" s="8">
        <v>1.26</v>
      </c>
      <c r="G1183" s="4">
        <v>11</v>
      </c>
      <c r="H1183" s="8">
        <v>1.73</v>
      </c>
      <c r="I1183" s="4">
        <v>0</v>
      </c>
    </row>
    <row r="1184" spans="1:9" x14ac:dyDescent="0.2">
      <c r="A1184" s="2">
        <v>9</v>
      </c>
      <c r="B1184" s="1" t="s">
        <v>231</v>
      </c>
      <c r="C1184" s="4">
        <v>15</v>
      </c>
      <c r="D1184" s="8">
        <v>1.57</v>
      </c>
      <c r="E1184" s="4">
        <v>3</v>
      </c>
      <c r="F1184" s="8">
        <v>0.94</v>
      </c>
      <c r="G1184" s="4">
        <v>12</v>
      </c>
      <c r="H1184" s="8">
        <v>1.88</v>
      </c>
      <c r="I1184" s="4">
        <v>0</v>
      </c>
    </row>
    <row r="1185" spans="1:9" x14ac:dyDescent="0.2">
      <c r="A1185" s="2">
        <v>14</v>
      </c>
      <c r="B1185" s="1" t="s">
        <v>209</v>
      </c>
      <c r="C1185" s="4">
        <v>14</v>
      </c>
      <c r="D1185" s="8">
        <v>1.46</v>
      </c>
      <c r="E1185" s="4">
        <v>4</v>
      </c>
      <c r="F1185" s="8">
        <v>1.26</v>
      </c>
      <c r="G1185" s="4">
        <v>10</v>
      </c>
      <c r="H1185" s="8">
        <v>1.57</v>
      </c>
      <c r="I1185" s="4">
        <v>0</v>
      </c>
    </row>
    <row r="1186" spans="1:9" x14ac:dyDescent="0.2">
      <c r="A1186" s="2">
        <v>14</v>
      </c>
      <c r="B1186" s="1" t="s">
        <v>168</v>
      </c>
      <c r="C1186" s="4">
        <v>14</v>
      </c>
      <c r="D1186" s="8">
        <v>1.46</v>
      </c>
      <c r="E1186" s="4">
        <v>8</v>
      </c>
      <c r="F1186" s="8">
        <v>2.52</v>
      </c>
      <c r="G1186" s="4">
        <v>6</v>
      </c>
      <c r="H1186" s="8">
        <v>0.94</v>
      </c>
      <c r="I1186" s="4">
        <v>0</v>
      </c>
    </row>
    <row r="1187" spans="1:9" x14ac:dyDescent="0.2">
      <c r="A1187" s="2">
        <v>16</v>
      </c>
      <c r="B1187" s="1" t="s">
        <v>202</v>
      </c>
      <c r="C1187" s="4">
        <v>13</v>
      </c>
      <c r="D1187" s="8">
        <v>1.36</v>
      </c>
      <c r="E1187" s="4">
        <v>1</v>
      </c>
      <c r="F1187" s="8">
        <v>0.31</v>
      </c>
      <c r="G1187" s="4">
        <v>12</v>
      </c>
      <c r="H1187" s="8">
        <v>1.88</v>
      </c>
      <c r="I1187" s="4">
        <v>0</v>
      </c>
    </row>
    <row r="1188" spans="1:9" x14ac:dyDescent="0.2">
      <c r="A1188" s="2">
        <v>16</v>
      </c>
      <c r="B1188" s="1" t="s">
        <v>158</v>
      </c>
      <c r="C1188" s="4">
        <v>13</v>
      </c>
      <c r="D1188" s="8">
        <v>1.36</v>
      </c>
      <c r="E1188" s="4">
        <v>7</v>
      </c>
      <c r="F1188" s="8">
        <v>2.2000000000000002</v>
      </c>
      <c r="G1188" s="4">
        <v>6</v>
      </c>
      <c r="H1188" s="8">
        <v>0.94</v>
      </c>
      <c r="I1188" s="4">
        <v>0</v>
      </c>
    </row>
    <row r="1189" spans="1:9" x14ac:dyDescent="0.2">
      <c r="A1189" s="2">
        <v>18</v>
      </c>
      <c r="B1189" s="1" t="s">
        <v>230</v>
      </c>
      <c r="C1189" s="4">
        <v>12</v>
      </c>
      <c r="D1189" s="8">
        <v>1.25</v>
      </c>
      <c r="E1189" s="4">
        <v>1</v>
      </c>
      <c r="F1189" s="8">
        <v>0.31</v>
      </c>
      <c r="G1189" s="4">
        <v>11</v>
      </c>
      <c r="H1189" s="8">
        <v>1.73</v>
      </c>
      <c r="I1189" s="4">
        <v>0</v>
      </c>
    </row>
    <row r="1190" spans="1:9" x14ac:dyDescent="0.2">
      <c r="A1190" s="2">
        <v>18</v>
      </c>
      <c r="B1190" s="1" t="s">
        <v>161</v>
      </c>
      <c r="C1190" s="4">
        <v>12</v>
      </c>
      <c r="D1190" s="8">
        <v>1.25</v>
      </c>
      <c r="E1190" s="4">
        <v>0</v>
      </c>
      <c r="F1190" s="8">
        <v>0</v>
      </c>
      <c r="G1190" s="4">
        <v>12</v>
      </c>
      <c r="H1190" s="8">
        <v>1.88</v>
      </c>
      <c r="I1190" s="4">
        <v>0</v>
      </c>
    </row>
    <row r="1191" spans="1:9" x14ac:dyDescent="0.2">
      <c r="A1191" s="2">
        <v>18</v>
      </c>
      <c r="B1191" s="1" t="s">
        <v>175</v>
      </c>
      <c r="C1191" s="4">
        <v>12</v>
      </c>
      <c r="D1191" s="8">
        <v>1.25</v>
      </c>
      <c r="E1191" s="4">
        <v>11</v>
      </c>
      <c r="F1191" s="8">
        <v>3.46</v>
      </c>
      <c r="G1191" s="4">
        <v>1</v>
      </c>
      <c r="H1191" s="8">
        <v>0.16</v>
      </c>
      <c r="I1191" s="4">
        <v>0</v>
      </c>
    </row>
    <row r="1192" spans="1:9" x14ac:dyDescent="0.2">
      <c r="A1192" s="1"/>
      <c r="C1192" s="4"/>
      <c r="D1192" s="8"/>
      <c r="E1192" s="4"/>
      <c r="F1192" s="8"/>
      <c r="G1192" s="4"/>
      <c r="H1192" s="8"/>
      <c r="I1192" s="4"/>
    </row>
    <row r="1193" spans="1:9" x14ac:dyDescent="0.2">
      <c r="A1193" s="1" t="s">
        <v>53</v>
      </c>
      <c r="C1193" s="4"/>
      <c r="D1193" s="8"/>
      <c r="E1193" s="4"/>
      <c r="F1193" s="8"/>
      <c r="G1193" s="4"/>
      <c r="H1193" s="8"/>
      <c r="I1193" s="4"/>
    </row>
    <row r="1194" spans="1:9" x14ac:dyDescent="0.2">
      <c r="A1194" s="2">
        <v>1</v>
      </c>
      <c r="B1194" s="1" t="s">
        <v>232</v>
      </c>
      <c r="C1194" s="4">
        <v>16</v>
      </c>
      <c r="D1194" s="8">
        <v>4.68</v>
      </c>
      <c r="E1194" s="4">
        <v>7</v>
      </c>
      <c r="F1194" s="8">
        <v>4.8600000000000003</v>
      </c>
      <c r="G1194" s="4">
        <v>9</v>
      </c>
      <c r="H1194" s="8">
        <v>4.6399999999999997</v>
      </c>
      <c r="I1194" s="4">
        <v>0</v>
      </c>
    </row>
    <row r="1195" spans="1:9" x14ac:dyDescent="0.2">
      <c r="A1195" s="2">
        <v>2</v>
      </c>
      <c r="B1195" s="1" t="s">
        <v>223</v>
      </c>
      <c r="C1195" s="4">
        <v>13</v>
      </c>
      <c r="D1195" s="8">
        <v>3.8</v>
      </c>
      <c r="E1195" s="4">
        <v>8</v>
      </c>
      <c r="F1195" s="8">
        <v>5.56</v>
      </c>
      <c r="G1195" s="4">
        <v>5</v>
      </c>
      <c r="H1195" s="8">
        <v>2.58</v>
      </c>
      <c r="I1195" s="4">
        <v>0</v>
      </c>
    </row>
    <row r="1196" spans="1:9" x14ac:dyDescent="0.2">
      <c r="A1196" s="2">
        <v>3</v>
      </c>
      <c r="B1196" s="1" t="s">
        <v>220</v>
      </c>
      <c r="C1196" s="4">
        <v>11</v>
      </c>
      <c r="D1196" s="8">
        <v>3.22</v>
      </c>
      <c r="E1196" s="4">
        <v>1</v>
      </c>
      <c r="F1196" s="8">
        <v>0.69</v>
      </c>
      <c r="G1196" s="4">
        <v>10</v>
      </c>
      <c r="H1196" s="8">
        <v>5.15</v>
      </c>
      <c r="I1196" s="4">
        <v>0</v>
      </c>
    </row>
    <row r="1197" spans="1:9" x14ac:dyDescent="0.2">
      <c r="A1197" s="2">
        <v>3</v>
      </c>
      <c r="B1197" s="1" t="s">
        <v>159</v>
      </c>
      <c r="C1197" s="4">
        <v>11</v>
      </c>
      <c r="D1197" s="8">
        <v>3.22</v>
      </c>
      <c r="E1197" s="4">
        <v>6</v>
      </c>
      <c r="F1197" s="8">
        <v>4.17</v>
      </c>
      <c r="G1197" s="4">
        <v>5</v>
      </c>
      <c r="H1197" s="8">
        <v>2.58</v>
      </c>
      <c r="I1197" s="4">
        <v>0</v>
      </c>
    </row>
    <row r="1198" spans="1:9" x14ac:dyDescent="0.2">
      <c r="A1198" s="2">
        <v>5</v>
      </c>
      <c r="B1198" s="1" t="s">
        <v>172</v>
      </c>
      <c r="C1198" s="4">
        <v>10</v>
      </c>
      <c r="D1198" s="8">
        <v>2.92</v>
      </c>
      <c r="E1198" s="4">
        <v>10</v>
      </c>
      <c r="F1198" s="8">
        <v>6.94</v>
      </c>
      <c r="G1198" s="4">
        <v>0</v>
      </c>
      <c r="H1198" s="8">
        <v>0</v>
      </c>
      <c r="I1198" s="4">
        <v>0</v>
      </c>
    </row>
    <row r="1199" spans="1:9" x14ac:dyDescent="0.2">
      <c r="A1199" s="2">
        <v>6</v>
      </c>
      <c r="B1199" s="1" t="s">
        <v>226</v>
      </c>
      <c r="C1199" s="4">
        <v>9</v>
      </c>
      <c r="D1199" s="8">
        <v>2.63</v>
      </c>
      <c r="E1199" s="4">
        <v>3</v>
      </c>
      <c r="F1199" s="8">
        <v>2.08</v>
      </c>
      <c r="G1199" s="4">
        <v>6</v>
      </c>
      <c r="H1199" s="8">
        <v>3.09</v>
      </c>
      <c r="I1199" s="4">
        <v>0</v>
      </c>
    </row>
    <row r="1200" spans="1:9" x14ac:dyDescent="0.2">
      <c r="A1200" s="2">
        <v>7</v>
      </c>
      <c r="B1200" s="1" t="s">
        <v>171</v>
      </c>
      <c r="C1200" s="4">
        <v>7</v>
      </c>
      <c r="D1200" s="8">
        <v>2.0499999999999998</v>
      </c>
      <c r="E1200" s="4">
        <v>7</v>
      </c>
      <c r="F1200" s="8">
        <v>4.8600000000000003</v>
      </c>
      <c r="G1200" s="4">
        <v>0</v>
      </c>
      <c r="H1200" s="8">
        <v>0</v>
      </c>
      <c r="I1200" s="4">
        <v>0</v>
      </c>
    </row>
    <row r="1201" spans="1:9" x14ac:dyDescent="0.2">
      <c r="A1201" s="2">
        <v>7</v>
      </c>
      <c r="B1201" s="1" t="s">
        <v>173</v>
      </c>
      <c r="C1201" s="4">
        <v>7</v>
      </c>
      <c r="D1201" s="8">
        <v>2.0499999999999998</v>
      </c>
      <c r="E1201" s="4">
        <v>6</v>
      </c>
      <c r="F1201" s="8">
        <v>4.17</v>
      </c>
      <c r="G1201" s="4">
        <v>1</v>
      </c>
      <c r="H1201" s="8">
        <v>0.52</v>
      </c>
      <c r="I1201" s="4">
        <v>0</v>
      </c>
    </row>
    <row r="1202" spans="1:9" x14ac:dyDescent="0.2">
      <c r="A1202" s="2">
        <v>7</v>
      </c>
      <c r="B1202" s="1" t="s">
        <v>224</v>
      </c>
      <c r="C1202" s="4">
        <v>7</v>
      </c>
      <c r="D1202" s="8">
        <v>2.0499999999999998</v>
      </c>
      <c r="E1202" s="4">
        <v>4</v>
      </c>
      <c r="F1202" s="8">
        <v>2.78</v>
      </c>
      <c r="G1202" s="4">
        <v>3</v>
      </c>
      <c r="H1202" s="8">
        <v>1.55</v>
      </c>
      <c r="I1202" s="4">
        <v>0</v>
      </c>
    </row>
    <row r="1203" spans="1:9" x14ac:dyDescent="0.2">
      <c r="A1203" s="2">
        <v>10</v>
      </c>
      <c r="B1203" s="1" t="s">
        <v>192</v>
      </c>
      <c r="C1203" s="4">
        <v>6</v>
      </c>
      <c r="D1203" s="8">
        <v>1.75</v>
      </c>
      <c r="E1203" s="4">
        <v>1</v>
      </c>
      <c r="F1203" s="8">
        <v>0.69</v>
      </c>
      <c r="G1203" s="4">
        <v>5</v>
      </c>
      <c r="H1203" s="8">
        <v>2.58</v>
      </c>
      <c r="I1203" s="4">
        <v>0</v>
      </c>
    </row>
    <row r="1204" spans="1:9" x14ac:dyDescent="0.2">
      <c r="A1204" s="2">
        <v>10</v>
      </c>
      <c r="B1204" s="1" t="s">
        <v>221</v>
      </c>
      <c r="C1204" s="4">
        <v>6</v>
      </c>
      <c r="D1204" s="8">
        <v>1.75</v>
      </c>
      <c r="E1204" s="4">
        <v>2</v>
      </c>
      <c r="F1204" s="8">
        <v>1.39</v>
      </c>
      <c r="G1204" s="4">
        <v>4</v>
      </c>
      <c r="H1204" s="8">
        <v>2.06</v>
      </c>
      <c r="I1204" s="4">
        <v>0</v>
      </c>
    </row>
    <row r="1205" spans="1:9" x14ac:dyDescent="0.2">
      <c r="A1205" s="2">
        <v>10</v>
      </c>
      <c r="B1205" s="1" t="s">
        <v>162</v>
      </c>
      <c r="C1205" s="4">
        <v>6</v>
      </c>
      <c r="D1205" s="8">
        <v>1.75</v>
      </c>
      <c r="E1205" s="4">
        <v>2</v>
      </c>
      <c r="F1205" s="8">
        <v>1.39</v>
      </c>
      <c r="G1205" s="4">
        <v>4</v>
      </c>
      <c r="H1205" s="8">
        <v>2.06</v>
      </c>
      <c r="I1205" s="4">
        <v>0</v>
      </c>
    </row>
    <row r="1206" spans="1:9" x14ac:dyDescent="0.2">
      <c r="A1206" s="2">
        <v>13</v>
      </c>
      <c r="B1206" s="1" t="s">
        <v>208</v>
      </c>
      <c r="C1206" s="4">
        <v>5</v>
      </c>
      <c r="D1206" s="8">
        <v>1.46</v>
      </c>
      <c r="E1206" s="4">
        <v>2</v>
      </c>
      <c r="F1206" s="8">
        <v>1.39</v>
      </c>
      <c r="G1206" s="4">
        <v>3</v>
      </c>
      <c r="H1206" s="8">
        <v>1.55</v>
      </c>
      <c r="I1206" s="4">
        <v>0</v>
      </c>
    </row>
    <row r="1207" spans="1:9" x14ac:dyDescent="0.2">
      <c r="A1207" s="2">
        <v>13</v>
      </c>
      <c r="B1207" s="1" t="s">
        <v>201</v>
      </c>
      <c r="C1207" s="4">
        <v>5</v>
      </c>
      <c r="D1207" s="8">
        <v>1.46</v>
      </c>
      <c r="E1207" s="4">
        <v>0</v>
      </c>
      <c r="F1207" s="8">
        <v>0</v>
      </c>
      <c r="G1207" s="4">
        <v>5</v>
      </c>
      <c r="H1207" s="8">
        <v>2.58</v>
      </c>
      <c r="I1207" s="4">
        <v>0</v>
      </c>
    </row>
    <row r="1208" spans="1:9" x14ac:dyDescent="0.2">
      <c r="A1208" s="2">
        <v>13</v>
      </c>
      <c r="B1208" s="1" t="s">
        <v>233</v>
      </c>
      <c r="C1208" s="4">
        <v>5</v>
      </c>
      <c r="D1208" s="8">
        <v>1.46</v>
      </c>
      <c r="E1208" s="4">
        <v>0</v>
      </c>
      <c r="F1208" s="8">
        <v>0</v>
      </c>
      <c r="G1208" s="4">
        <v>5</v>
      </c>
      <c r="H1208" s="8">
        <v>2.58</v>
      </c>
      <c r="I1208" s="4">
        <v>0</v>
      </c>
    </row>
    <row r="1209" spans="1:9" x14ac:dyDescent="0.2">
      <c r="A1209" s="2">
        <v>13</v>
      </c>
      <c r="B1209" s="1" t="s">
        <v>190</v>
      </c>
      <c r="C1209" s="4">
        <v>5</v>
      </c>
      <c r="D1209" s="8">
        <v>1.46</v>
      </c>
      <c r="E1209" s="4">
        <v>2</v>
      </c>
      <c r="F1209" s="8">
        <v>1.39</v>
      </c>
      <c r="G1209" s="4">
        <v>3</v>
      </c>
      <c r="H1209" s="8">
        <v>1.55</v>
      </c>
      <c r="I1209" s="4">
        <v>0</v>
      </c>
    </row>
    <row r="1210" spans="1:9" x14ac:dyDescent="0.2">
      <c r="A1210" s="2">
        <v>13</v>
      </c>
      <c r="B1210" s="1" t="s">
        <v>205</v>
      </c>
      <c r="C1210" s="4">
        <v>5</v>
      </c>
      <c r="D1210" s="8">
        <v>1.46</v>
      </c>
      <c r="E1210" s="4">
        <v>4</v>
      </c>
      <c r="F1210" s="8">
        <v>2.78</v>
      </c>
      <c r="G1210" s="4">
        <v>1</v>
      </c>
      <c r="H1210" s="8">
        <v>0.52</v>
      </c>
      <c r="I1210" s="4">
        <v>0</v>
      </c>
    </row>
    <row r="1211" spans="1:9" x14ac:dyDescent="0.2">
      <c r="A1211" s="2">
        <v>13</v>
      </c>
      <c r="B1211" s="1" t="s">
        <v>219</v>
      </c>
      <c r="C1211" s="4">
        <v>5</v>
      </c>
      <c r="D1211" s="8">
        <v>1.46</v>
      </c>
      <c r="E1211" s="4">
        <v>3</v>
      </c>
      <c r="F1211" s="8">
        <v>2.08</v>
      </c>
      <c r="G1211" s="4">
        <v>2</v>
      </c>
      <c r="H1211" s="8">
        <v>1.03</v>
      </c>
      <c r="I1211" s="4">
        <v>0</v>
      </c>
    </row>
    <row r="1212" spans="1:9" x14ac:dyDescent="0.2">
      <c r="A1212" s="2">
        <v>19</v>
      </c>
      <c r="B1212" s="1" t="s">
        <v>206</v>
      </c>
      <c r="C1212" s="4">
        <v>4</v>
      </c>
      <c r="D1212" s="8">
        <v>1.17</v>
      </c>
      <c r="E1212" s="4">
        <v>2</v>
      </c>
      <c r="F1212" s="8">
        <v>1.39</v>
      </c>
      <c r="G1212" s="4">
        <v>2</v>
      </c>
      <c r="H1212" s="8">
        <v>1.03</v>
      </c>
      <c r="I1212" s="4">
        <v>0</v>
      </c>
    </row>
    <row r="1213" spans="1:9" x14ac:dyDescent="0.2">
      <c r="A1213" s="2">
        <v>19</v>
      </c>
      <c r="B1213" s="1" t="s">
        <v>200</v>
      </c>
      <c r="C1213" s="4">
        <v>4</v>
      </c>
      <c r="D1213" s="8">
        <v>1.17</v>
      </c>
      <c r="E1213" s="4">
        <v>3</v>
      </c>
      <c r="F1213" s="8">
        <v>2.08</v>
      </c>
      <c r="G1213" s="4">
        <v>1</v>
      </c>
      <c r="H1213" s="8">
        <v>0.52</v>
      </c>
      <c r="I1213" s="4">
        <v>0</v>
      </c>
    </row>
    <row r="1214" spans="1:9" x14ac:dyDescent="0.2">
      <c r="A1214" s="2">
        <v>19</v>
      </c>
      <c r="B1214" s="1" t="s">
        <v>199</v>
      </c>
      <c r="C1214" s="4">
        <v>4</v>
      </c>
      <c r="D1214" s="8">
        <v>1.17</v>
      </c>
      <c r="E1214" s="4">
        <v>1</v>
      </c>
      <c r="F1214" s="8">
        <v>0.69</v>
      </c>
      <c r="G1214" s="4">
        <v>3</v>
      </c>
      <c r="H1214" s="8">
        <v>1.55</v>
      </c>
      <c r="I1214" s="4">
        <v>0</v>
      </c>
    </row>
    <row r="1215" spans="1:9" x14ac:dyDescent="0.2">
      <c r="A1215" s="2">
        <v>19</v>
      </c>
      <c r="B1215" s="1" t="s">
        <v>234</v>
      </c>
      <c r="C1215" s="4">
        <v>4</v>
      </c>
      <c r="D1215" s="8">
        <v>1.17</v>
      </c>
      <c r="E1215" s="4">
        <v>1</v>
      </c>
      <c r="F1215" s="8">
        <v>0.69</v>
      </c>
      <c r="G1215" s="4">
        <v>3</v>
      </c>
      <c r="H1215" s="8">
        <v>1.55</v>
      </c>
      <c r="I1215" s="4">
        <v>0</v>
      </c>
    </row>
    <row r="1216" spans="1:9" x14ac:dyDescent="0.2">
      <c r="A1216" s="2">
        <v>19</v>
      </c>
      <c r="B1216" s="1" t="s">
        <v>163</v>
      </c>
      <c r="C1216" s="4">
        <v>4</v>
      </c>
      <c r="D1216" s="8">
        <v>1.17</v>
      </c>
      <c r="E1216" s="4">
        <v>0</v>
      </c>
      <c r="F1216" s="8">
        <v>0</v>
      </c>
      <c r="G1216" s="4">
        <v>4</v>
      </c>
      <c r="H1216" s="8">
        <v>2.06</v>
      </c>
      <c r="I1216" s="4">
        <v>0</v>
      </c>
    </row>
    <row r="1217" spans="1:9" x14ac:dyDescent="0.2">
      <c r="A1217" s="2">
        <v>19</v>
      </c>
      <c r="B1217" s="1" t="s">
        <v>168</v>
      </c>
      <c r="C1217" s="4">
        <v>4</v>
      </c>
      <c r="D1217" s="8">
        <v>1.17</v>
      </c>
      <c r="E1217" s="4">
        <v>3</v>
      </c>
      <c r="F1217" s="8">
        <v>2.08</v>
      </c>
      <c r="G1217" s="4">
        <v>1</v>
      </c>
      <c r="H1217" s="8">
        <v>0.52</v>
      </c>
      <c r="I1217" s="4">
        <v>0</v>
      </c>
    </row>
    <row r="1218" spans="1:9" x14ac:dyDescent="0.2">
      <c r="A1218" s="2">
        <v>19</v>
      </c>
      <c r="B1218" s="1" t="s">
        <v>235</v>
      </c>
      <c r="C1218" s="4">
        <v>4</v>
      </c>
      <c r="D1218" s="8">
        <v>1.17</v>
      </c>
      <c r="E1218" s="4">
        <v>0</v>
      </c>
      <c r="F1218" s="8">
        <v>0</v>
      </c>
      <c r="G1218" s="4">
        <v>4</v>
      </c>
      <c r="H1218" s="8">
        <v>2.06</v>
      </c>
      <c r="I1218" s="4">
        <v>0</v>
      </c>
    </row>
    <row r="1219" spans="1:9" x14ac:dyDescent="0.2">
      <c r="A1219" s="2">
        <v>19</v>
      </c>
      <c r="B1219" s="1" t="s">
        <v>236</v>
      </c>
      <c r="C1219" s="4">
        <v>4</v>
      </c>
      <c r="D1219" s="8">
        <v>1.17</v>
      </c>
      <c r="E1219" s="4">
        <v>0</v>
      </c>
      <c r="F1219" s="8">
        <v>0</v>
      </c>
      <c r="G1219" s="4">
        <v>4</v>
      </c>
      <c r="H1219" s="8">
        <v>2.06</v>
      </c>
      <c r="I1219" s="4">
        <v>0</v>
      </c>
    </row>
    <row r="1220" spans="1:9" x14ac:dyDescent="0.2">
      <c r="A1220" s="1"/>
      <c r="C1220" s="4"/>
      <c r="D1220" s="8"/>
      <c r="E1220" s="4"/>
      <c r="F1220" s="8"/>
      <c r="G1220" s="4"/>
      <c r="H1220" s="8"/>
      <c r="I1220" s="4"/>
    </row>
    <row r="1221" spans="1:9" x14ac:dyDescent="0.2">
      <c r="A1221" s="1" t="s">
        <v>54</v>
      </c>
      <c r="C1221" s="4"/>
      <c r="D1221" s="8"/>
      <c r="E1221" s="4"/>
      <c r="F1221" s="8"/>
      <c r="G1221" s="4"/>
      <c r="H1221" s="8"/>
      <c r="I1221" s="4"/>
    </row>
    <row r="1222" spans="1:9" x14ac:dyDescent="0.2">
      <c r="A1222" s="2">
        <v>1</v>
      </c>
      <c r="B1222" s="1" t="s">
        <v>223</v>
      </c>
      <c r="C1222" s="4">
        <v>9</v>
      </c>
      <c r="D1222" s="8">
        <v>8.11</v>
      </c>
      <c r="E1222" s="4">
        <v>6</v>
      </c>
      <c r="F1222" s="8">
        <v>8.2200000000000006</v>
      </c>
      <c r="G1222" s="4">
        <v>3</v>
      </c>
      <c r="H1222" s="8">
        <v>8.57</v>
      </c>
      <c r="I1222" s="4">
        <v>0</v>
      </c>
    </row>
    <row r="1223" spans="1:9" x14ac:dyDescent="0.2">
      <c r="A1223" s="2">
        <v>2</v>
      </c>
      <c r="B1223" s="1" t="s">
        <v>242</v>
      </c>
      <c r="C1223" s="4">
        <v>7</v>
      </c>
      <c r="D1223" s="8">
        <v>6.31</v>
      </c>
      <c r="E1223" s="4">
        <v>4</v>
      </c>
      <c r="F1223" s="8">
        <v>5.48</v>
      </c>
      <c r="G1223" s="4">
        <v>3</v>
      </c>
      <c r="H1223" s="8">
        <v>8.57</v>
      </c>
      <c r="I1223" s="4">
        <v>0</v>
      </c>
    </row>
    <row r="1224" spans="1:9" x14ac:dyDescent="0.2">
      <c r="A1224" s="2">
        <v>3</v>
      </c>
      <c r="B1224" s="1" t="s">
        <v>220</v>
      </c>
      <c r="C1224" s="4">
        <v>5</v>
      </c>
      <c r="D1224" s="8">
        <v>4.5</v>
      </c>
      <c r="E1224" s="4">
        <v>0</v>
      </c>
      <c r="F1224" s="8">
        <v>0</v>
      </c>
      <c r="G1224" s="4">
        <v>5</v>
      </c>
      <c r="H1224" s="8">
        <v>14.29</v>
      </c>
      <c r="I1224" s="4">
        <v>0</v>
      </c>
    </row>
    <row r="1225" spans="1:9" x14ac:dyDescent="0.2">
      <c r="A1225" s="2">
        <v>3</v>
      </c>
      <c r="B1225" s="1" t="s">
        <v>241</v>
      </c>
      <c r="C1225" s="4">
        <v>5</v>
      </c>
      <c r="D1225" s="8">
        <v>4.5</v>
      </c>
      <c r="E1225" s="4">
        <v>3</v>
      </c>
      <c r="F1225" s="8">
        <v>4.1100000000000003</v>
      </c>
      <c r="G1225" s="4">
        <v>2</v>
      </c>
      <c r="H1225" s="8">
        <v>5.71</v>
      </c>
      <c r="I1225" s="4">
        <v>0</v>
      </c>
    </row>
    <row r="1226" spans="1:9" x14ac:dyDescent="0.2">
      <c r="A1226" s="2">
        <v>3</v>
      </c>
      <c r="B1226" s="1" t="s">
        <v>243</v>
      </c>
      <c r="C1226" s="4">
        <v>5</v>
      </c>
      <c r="D1226" s="8">
        <v>4.5</v>
      </c>
      <c r="E1226" s="4">
        <v>4</v>
      </c>
      <c r="F1226" s="8">
        <v>5.48</v>
      </c>
      <c r="G1226" s="4">
        <v>1</v>
      </c>
      <c r="H1226" s="8">
        <v>2.86</v>
      </c>
      <c r="I1226" s="4">
        <v>0</v>
      </c>
    </row>
    <row r="1227" spans="1:9" x14ac:dyDescent="0.2">
      <c r="A1227" s="2">
        <v>6</v>
      </c>
      <c r="B1227" s="1" t="s">
        <v>227</v>
      </c>
      <c r="C1227" s="4">
        <v>4</v>
      </c>
      <c r="D1227" s="8">
        <v>3.6</v>
      </c>
      <c r="E1227" s="4">
        <v>4</v>
      </c>
      <c r="F1227" s="8">
        <v>5.48</v>
      </c>
      <c r="G1227" s="4">
        <v>0</v>
      </c>
      <c r="H1227" s="8">
        <v>0</v>
      </c>
      <c r="I1227" s="4">
        <v>0</v>
      </c>
    </row>
    <row r="1228" spans="1:9" x14ac:dyDescent="0.2">
      <c r="A1228" s="2">
        <v>6</v>
      </c>
      <c r="B1228" s="1" t="s">
        <v>240</v>
      </c>
      <c r="C1228" s="4">
        <v>4</v>
      </c>
      <c r="D1228" s="8">
        <v>3.6</v>
      </c>
      <c r="E1228" s="4">
        <v>4</v>
      </c>
      <c r="F1228" s="8">
        <v>5.48</v>
      </c>
      <c r="G1228" s="4">
        <v>0</v>
      </c>
      <c r="H1228" s="8">
        <v>0</v>
      </c>
      <c r="I1228" s="4">
        <v>0</v>
      </c>
    </row>
    <row r="1229" spans="1:9" x14ac:dyDescent="0.2">
      <c r="A1229" s="2">
        <v>6</v>
      </c>
      <c r="B1229" s="1" t="s">
        <v>158</v>
      </c>
      <c r="C1229" s="4">
        <v>4</v>
      </c>
      <c r="D1229" s="8">
        <v>3.6</v>
      </c>
      <c r="E1229" s="4">
        <v>2</v>
      </c>
      <c r="F1229" s="8">
        <v>2.74</v>
      </c>
      <c r="G1229" s="4">
        <v>2</v>
      </c>
      <c r="H1229" s="8">
        <v>5.71</v>
      </c>
      <c r="I1229" s="4">
        <v>0</v>
      </c>
    </row>
    <row r="1230" spans="1:9" x14ac:dyDescent="0.2">
      <c r="A1230" s="2">
        <v>9</v>
      </c>
      <c r="B1230" s="1" t="s">
        <v>237</v>
      </c>
      <c r="C1230" s="4">
        <v>3</v>
      </c>
      <c r="D1230" s="8">
        <v>2.7</v>
      </c>
      <c r="E1230" s="4">
        <v>2</v>
      </c>
      <c r="F1230" s="8">
        <v>2.74</v>
      </c>
      <c r="G1230" s="4">
        <v>1</v>
      </c>
      <c r="H1230" s="8">
        <v>2.86</v>
      </c>
      <c r="I1230" s="4">
        <v>0</v>
      </c>
    </row>
    <row r="1231" spans="1:9" x14ac:dyDescent="0.2">
      <c r="A1231" s="2">
        <v>9</v>
      </c>
      <c r="B1231" s="1" t="s">
        <v>238</v>
      </c>
      <c r="C1231" s="4">
        <v>3</v>
      </c>
      <c r="D1231" s="8">
        <v>2.7</v>
      </c>
      <c r="E1231" s="4">
        <v>0</v>
      </c>
      <c r="F1231" s="8">
        <v>0</v>
      </c>
      <c r="G1231" s="4">
        <v>3</v>
      </c>
      <c r="H1231" s="8">
        <v>8.57</v>
      </c>
      <c r="I1231" s="4">
        <v>0</v>
      </c>
    </row>
    <row r="1232" spans="1:9" x14ac:dyDescent="0.2">
      <c r="A1232" s="2">
        <v>9</v>
      </c>
      <c r="B1232" s="1" t="s">
        <v>171</v>
      </c>
      <c r="C1232" s="4">
        <v>3</v>
      </c>
      <c r="D1232" s="8">
        <v>2.7</v>
      </c>
      <c r="E1232" s="4">
        <v>3</v>
      </c>
      <c r="F1232" s="8">
        <v>4.1100000000000003</v>
      </c>
      <c r="G1232" s="4">
        <v>0</v>
      </c>
      <c r="H1232" s="8">
        <v>0</v>
      </c>
      <c r="I1232" s="4">
        <v>0</v>
      </c>
    </row>
    <row r="1233" spans="1:9" x14ac:dyDescent="0.2">
      <c r="A1233" s="2">
        <v>12</v>
      </c>
      <c r="B1233" s="1" t="s">
        <v>201</v>
      </c>
      <c r="C1233" s="4">
        <v>2</v>
      </c>
      <c r="D1233" s="8">
        <v>1.8</v>
      </c>
      <c r="E1233" s="4">
        <v>2</v>
      </c>
      <c r="F1233" s="8">
        <v>2.74</v>
      </c>
      <c r="G1233" s="4">
        <v>0</v>
      </c>
      <c r="H1233" s="8">
        <v>0</v>
      </c>
      <c r="I1233" s="4">
        <v>0</v>
      </c>
    </row>
    <row r="1234" spans="1:9" x14ac:dyDescent="0.2">
      <c r="A1234" s="2">
        <v>12</v>
      </c>
      <c r="B1234" s="1" t="s">
        <v>239</v>
      </c>
      <c r="C1234" s="4">
        <v>2</v>
      </c>
      <c r="D1234" s="8">
        <v>1.8</v>
      </c>
      <c r="E1234" s="4">
        <v>0</v>
      </c>
      <c r="F1234" s="8">
        <v>0</v>
      </c>
      <c r="G1234" s="4">
        <v>2</v>
      </c>
      <c r="H1234" s="8">
        <v>5.71</v>
      </c>
      <c r="I1234" s="4">
        <v>0</v>
      </c>
    </row>
    <row r="1235" spans="1:9" x14ac:dyDescent="0.2">
      <c r="A1235" s="2">
        <v>12</v>
      </c>
      <c r="B1235" s="1" t="s">
        <v>159</v>
      </c>
      <c r="C1235" s="4">
        <v>2</v>
      </c>
      <c r="D1235" s="8">
        <v>1.8</v>
      </c>
      <c r="E1235" s="4">
        <v>2</v>
      </c>
      <c r="F1235" s="8">
        <v>2.74</v>
      </c>
      <c r="G1235" s="4">
        <v>0</v>
      </c>
      <c r="H1235" s="8">
        <v>0</v>
      </c>
      <c r="I1235" s="4">
        <v>0</v>
      </c>
    </row>
    <row r="1236" spans="1:9" x14ac:dyDescent="0.2">
      <c r="A1236" s="2">
        <v>12</v>
      </c>
      <c r="B1236" s="1" t="s">
        <v>162</v>
      </c>
      <c r="C1236" s="4">
        <v>2</v>
      </c>
      <c r="D1236" s="8">
        <v>1.8</v>
      </c>
      <c r="E1236" s="4">
        <v>1</v>
      </c>
      <c r="F1236" s="8">
        <v>1.37</v>
      </c>
      <c r="G1236" s="4">
        <v>1</v>
      </c>
      <c r="H1236" s="8">
        <v>2.86</v>
      </c>
      <c r="I1236" s="4">
        <v>0</v>
      </c>
    </row>
    <row r="1237" spans="1:9" x14ac:dyDescent="0.2">
      <c r="A1237" s="2">
        <v>12</v>
      </c>
      <c r="B1237" s="1" t="s">
        <v>244</v>
      </c>
      <c r="C1237" s="4">
        <v>2</v>
      </c>
      <c r="D1237" s="8">
        <v>1.8</v>
      </c>
      <c r="E1237" s="4">
        <v>2</v>
      </c>
      <c r="F1237" s="8">
        <v>2.74</v>
      </c>
      <c r="G1237" s="4">
        <v>0</v>
      </c>
      <c r="H1237" s="8">
        <v>0</v>
      </c>
      <c r="I1237" s="4">
        <v>0</v>
      </c>
    </row>
    <row r="1238" spans="1:9" x14ac:dyDescent="0.2">
      <c r="A1238" s="2">
        <v>12</v>
      </c>
      <c r="B1238" s="1" t="s">
        <v>168</v>
      </c>
      <c r="C1238" s="4">
        <v>2</v>
      </c>
      <c r="D1238" s="8">
        <v>1.8</v>
      </c>
      <c r="E1238" s="4">
        <v>2</v>
      </c>
      <c r="F1238" s="8">
        <v>2.74</v>
      </c>
      <c r="G1238" s="4">
        <v>0</v>
      </c>
      <c r="H1238" s="8">
        <v>0</v>
      </c>
      <c r="I1238" s="4">
        <v>0</v>
      </c>
    </row>
    <row r="1239" spans="1:9" x14ac:dyDescent="0.2">
      <c r="A1239" s="2">
        <v>12</v>
      </c>
      <c r="B1239" s="1" t="s">
        <v>245</v>
      </c>
      <c r="C1239" s="4">
        <v>2</v>
      </c>
      <c r="D1239" s="8">
        <v>1.8</v>
      </c>
      <c r="E1239" s="4">
        <v>1</v>
      </c>
      <c r="F1239" s="8">
        <v>1.37</v>
      </c>
      <c r="G1239" s="4">
        <v>1</v>
      </c>
      <c r="H1239" s="8">
        <v>2.86</v>
      </c>
      <c r="I1239" s="4">
        <v>0</v>
      </c>
    </row>
    <row r="1240" spans="1:9" x14ac:dyDescent="0.2">
      <c r="A1240" s="2">
        <v>12</v>
      </c>
      <c r="B1240" s="1" t="s">
        <v>169</v>
      </c>
      <c r="C1240" s="4">
        <v>2</v>
      </c>
      <c r="D1240" s="8">
        <v>1.8</v>
      </c>
      <c r="E1240" s="4">
        <v>2</v>
      </c>
      <c r="F1240" s="8">
        <v>2.74</v>
      </c>
      <c r="G1240" s="4">
        <v>0</v>
      </c>
      <c r="H1240" s="8">
        <v>0</v>
      </c>
      <c r="I1240" s="4">
        <v>0</v>
      </c>
    </row>
    <row r="1241" spans="1:9" x14ac:dyDescent="0.2">
      <c r="A1241" s="2">
        <v>12</v>
      </c>
      <c r="B1241" s="1" t="s">
        <v>191</v>
      </c>
      <c r="C1241" s="4">
        <v>2</v>
      </c>
      <c r="D1241" s="8">
        <v>1.8</v>
      </c>
      <c r="E1241" s="4">
        <v>2</v>
      </c>
      <c r="F1241" s="8">
        <v>2.74</v>
      </c>
      <c r="G1241" s="4">
        <v>0</v>
      </c>
      <c r="H1241" s="8">
        <v>0</v>
      </c>
      <c r="I1241" s="4">
        <v>0</v>
      </c>
    </row>
    <row r="1242" spans="1:9" x14ac:dyDescent="0.2">
      <c r="A1242" s="2">
        <v>12</v>
      </c>
      <c r="B1242" s="1" t="s">
        <v>172</v>
      </c>
      <c r="C1242" s="4">
        <v>2</v>
      </c>
      <c r="D1242" s="8">
        <v>1.8</v>
      </c>
      <c r="E1242" s="4">
        <v>2</v>
      </c>
      <c r="F1242" s="8">
        <v>2.74</v>
      </c>
      <c r="G1242" s="4">
        <v>0</v>
      </c>
      <c r="H1242" s="8">
        <v>0</v>
      </c>
      <c r="I1242" s="4">
        <v>0</v>
      </c>
    </row>
    <row r="1243" spans="1:9" x14ac:dyDescent="0.2">
      <c r="A1243" s="2">
        <v>12</v>
      </c>
      <c r="B1243" s="1" t="s">
        <v>173</v>
      </c>
      <c r="C1243" s="4">
        <v>2</v>
      </c>
      <c r="D1243" s="8">
        <v>1.8</v>
      </c>
      <c r="E1243" s="4">
        <v>2</v>
      </c>
      <c r="F1243" s="8">
        <v>2.74</v>
      </c>
      <c r="G1243" s="4">
        <v>0</v>
      </c>
      <c r="H1243" s="8">
        <v>0</v>
      </c>
      <c r="I1243" s="4">
        <v>0</v>
      </c>
    </row>
    <row r="1244" spans="1:9" x14ac:dyDescent="0.2">
      <c r="A1244" s="2">
        <v>12</v>
      </c>
      <c r="B1244" s="1" t="s">
        <v>176</v>
      </c>
      <c r="C1244" s="4">
        <v>2</v>
      </c>
      <c r="D1244" s="8">
        <v>1.8</v>
      </c>
      <c r="E1244" s="4">
        <v>1</v>
      </c>
      <c r="F1244" s="8">
        <v>1.37</v>
      </c>
      <c r="G1244" s="4">
        <v>1</v>
      </c>
      <c r="H1244" s="8">
        <v>2.86</v>
      </c>
      <c r="I1244" s="4">
        <v>0</v>
      </c>
    </row>
    <row r="1245" spans="1:9" x14ac:dyDescent="0.2">
      <c r="A1245" s="1"/>
      <c r="C1245" s="4"/>
      <c r="D1245" s="8"/>
      <c r="E1245" s="4"/>
      <c r="F1245" s="8"/>
      <c r="G1245" s="4"/>
      <c r="H1245" s="8"/>
      <c r="I1245" s="4"/>
    </row>
    <row r="1246" spans="1:9" x14ac:dyDescent="0.2">
      <c r="A1246" s="1" t="s">
        <v>55</v>
      </c>
      <c r="C1246" s="4"/>
      <c r="D1246" s="8"/>
      <c r="E1246" s="4"/>
      <c r="F1246" s="8"/>
      <c r="G1246" s="4"/>
      <c r="H1246" s="8"/>
      <c r="I1246" s="4"/>
    </row>
    <row r="1247" spans="1:9" x14ac:dyDescent="0.2">
      <c r="A1247" s="2">
        <v>1</v>
      </c>
      <c r="B1247" s="1" t="s">
        <v>223</v>
      </c>
      <c r="C1247" s="4">
        <v>11</v>
      </c>
      <c r="D1247" s="8">
        <v>8.5299999999999994</v>
      </c>
      <c r="E1247" s="4">
        <v>9</v>
      </c>
      <c r="F1247" s="8">
        <v>12.33</v>
      </c>
      <c r="G1247" s="4">
        <v>2</v>
      </c>
      <c r="H1247" s="8">
        <v>3.77</v>
      </c>
      <c r="I1247" s="4">
        <v>0</v>
      </c>
    </row>
    <row r="1248" spans="1:9" x14ac:dyDescent="0.2">
      <c r="A1248" s="2">
        <v>2</v>
      </c>
      <c r="B1248" s="1" t="s">
        <v>220</v>
      </c>
      <c r="C1248" s="4">
        <v>8</v>
      </c>
      <c r="D1248" s="8">
        <v>6.2</v>
      </c>
      <c r="E1248" s="4">
        <v>2</v>
      </c>
      <c r="F1248" s="8">
        <v>2.74</v>
      </c>
      <c r="G1248" s="4">
        <v>6</v>
      </c>
      <c r="H1248" s="8">
        <v>11.32</v>
      </c>
      <c r="I1248" s="4">
        <v>0</v>
      </c>
    </row>
    <row r="1249" spans="1:9" x14ac:dyDescent="0.2">
      <c r="A1249" s="2">
        <v>3</v>
      </c>
      <c r="B1249" s="1" t="s">
        <v>158</v>
      </c>
      <c r="C1249" s="4">
        <v>7</v>
      </c>
      <c r="D1249" s="8">
        <v>5.43</v>
      </c>
      <c r="E1249" s="4">
        <v>6</v>
      </c>
      <c r="F1249" s="8">
        <v>8.2200000000000006</v>
      </c>
      <c r="G1249" s="4">
        <v>1</v>
      </c>
      <c r="H1249" s="8">
        <v>1.89</v>
      </c>
      <c r="I1249" s="4">
        <v>0</v>
      </c>
    </row>
    <row r="1250" spans="1:9" x14ac:dyDescent="0.2">
      <c r="A1250" s="2">
        <v>4</v>
      </c>
      <c r="B1250" s="1" t="s">
        <v>216</v>
      </c>
      <c r="C1250" s="4">
        <v>6</v>
      </c>
      <c r="D1250" s="8">
        <v>4.6500000000000004</v>
      </c>
      <c r="E1250" s="4">
        <v>5</v>
      </c>
      <c r="F1250" s="8">
        <v>6.85</v>
      </c>
      <c r="G1250" s="4">
        <v>1</v>
      </c>
      <c r="H1250" s="8">
        <v>1.89</v>
      </c>
      <c r="I1250" s="4">
        <v>0</v>
      </c>
    </row>
    <row r="1251" spans="1:9" x14ac:dyDescent="0.2">
      <c r="A1251" s="2">
        <v>4</v>
      </c>
      <c r="B1251" s="1" t="s">
        <v>169</v>
      </c>
      <c r="C1251" s="4">
        <v>6</v>
      </c>
      <c r="D1251" s="8">
        <v>4.6500000000000004</v>
      </c>
      <c r="E1251" s="4">
        <v>5</v>
      </c>
      <c r="F1251" s="8">
        <v>6.85</v>
      </c>
      <c r="G1251" s="4">
        <v>1</v>
      </c>
      <c r="H1251" s="8">
        <v>1.89</v>
      </c>
      <c r="I1251" s="4">
        <v>0</v>
      </c>
    </row>
    <row r="1252" spans="1:9" x14ac:dyDescent="0.2">
      <c r="A1252" s="2">
        <v>6</v>
      </c>
      <c r="B1252" s="1" t="s">
        <v>241</v>
      </c>
      <c r="C1252" s="4">
        <v>5</v>
      </c>
      <c r="D1252" s="8">
        <v>3.88</v>
      </c>
      <c r="E1252" s="4">
        <v>1</v>
      </c>
      <c r="F1252" s="8">
        <v>1.37</v>
      </c>
      <c r="G1252" s="4">
        <v>4</v>
      </c>
      <c r="H1252" s="8">
        <v>7.55</v>
      </c>
      <c r="I1252" s="4">
        <v>0</v>
      </c>
    </row>
    <row r="1253" spans="1:9" x14ac:dyDescent="0.2">
      <c r="A1253" s="2">
        <v>6</v>
      </c>
      <c r="B1253" s="1" t="s">
        <v>244</v>
      </c>
      <c r="C1253" s="4">
        <v>5</v>
      </c>
      <c r="D1253" s="8">
        <v>3.88</v>
      </c>
      <c r="E1253" s="4">
        <v>4</v>
      </c>
      <c r="F1253" s="8">
        <v>5.48</v>
      </c>
      <c r="G1253" s="4">
        <v>1</v>
      </c>
      <c r="H1253" s="8">
        <v>1.89</v>
      </c>
      <c r="I1253" s="4">
        <v>0</v>
      </c>
    </row>
    <row r="1254" spans="1:9" x14ac:dyDescent="0.2">
      <c r="A1254" s="2">
        <v>6</v>
      </c>
      <c r="B1254" s="1" t="s">
        <v>168</v>
      </c>
      <c r="C1254" s="4">
        <v>5</v>
      </c>
      <c r="D1254" s="8">
        <v>3.88</v>
      </c>
      <c r="E1254" s="4">
        <v>5</v>
      </c>
      <c r="F1254" s="8">
        <v>6.85</v>
      </c>
      <c r="G1254" s="4">
        <v>0</v>
      </c>
      <c r="H1254" s="8">
        <v>0</v>
      </c>
      <c r="I1254" s="4">
        <v>0</v>
      </c>
    </row>
    <row r="1255" spans="1:9" x14ac:dyDescent="0.2">
      <c r="A1255" s="2">
        <v>6</v>
      </c>
      <c r="B1255" s="1" t="s">
        <v>191</v>
      </c>
      <c r="C1255" s="4">
        <v>5</v>
      </c>
      <c r="D1255" s="8">
        <v>3.88</v>
      </c>
      <c r="E1255" s="4">
        <v>5</v>
      </c>
      <c r="F1255" s="8">
        <v>6.85</v>
      </c>
      <c r="G1255" s="4">
        <v>0</v>
      </c>
      <c r="H1255" s="8">
        <v>0</v>
      </c>
      <c r="I1255" s="4">
        <v>0</v>
      </c>
    </row>
    <row r="1256" spans="1:9" x14ac:dyDescent="0.2">
      <c r="A1256" s="2">
        <v>10</v>
      </c>
      <c r="B1256" s="1" t="s">
        <v>205</v>
      </c>
      <c r="C1256" s="4">
        <v>3</v>
      </c>
      <c r="D1256" s="8">
        <v>2.33</v>
      </c>
      <c r="E1256" s="4">
        <v>3</v>
      </c>
      <c r="F1256" s="8">
        <v>4.1100000000000003</v>
      </c>
      <c r="G1256" s="4">
        <v>0</v>
      </c>
      <c r="H1256" s="8">
        <v>0</v>
      </c>
      <c r="I1256" s="4">
        <v>0</v>
      </c>
    </row>
    <row r="1257" spans="1:9" x14ac:dyDescent="0.2">
      <c r="A1257" s="2">
        <v>10</v>
      </c>
      <c r="B1257" s="1" t="s">
        <v>242</v>
      </c>
      <c r="C1257" s="4">
        <v>3</v>
      </c>
      <c r="D1257" s="8">
        <v>2.33</v>
      </c>
      <c r="E1257" s="4">
        <v>2</v>
      </c>
      <c r="F1257" s="8">
        <v>2.74</v>
      </c>
      <c r="G1257" s="4">
        <v>1</v>
      </c>
      <c r="H1257" s="8">
        <v>1.89</v>
      </c>
      <c r="I1257" s="4">
        <v>0</v>
      </c>
    </row>
    <row r="1258" spans="1:9" x14ac:dyDescent="0.2">
      <c r="A1258" s="2">
        <v>10</v>
      </c>
      <c r="B1258" s="1" t="s">
        <v>171</v>
      </c>
      <c r="C1258" s="4">
        <v>3</v>
      </c>
      <c r="D1258" s="8">
        <v>2.33</v>
      </c>
      <c r="E1258" s="4">
        <v>3</v>
      </c>
      <c r="F1258" s="8">
        <v>4.1100000000000003</v>
      </c>
      <c r="G1258" s="4">
        <v>0</v>
      </c>
      <c r="H1258" s="8">
        <v>0</v>
      </c>
      <c r="I1258" s="4">
        <v>0</v>
      </c>
    </row>
    <row r="1259" spans="1:9" x14ac:dyDescent="0.2">
      <c r="A1259" s="2">
        <v>13</v>
      </c>
      <c r="B1259" s="1" t="s">
        <v>246</v>
      </c>
      <c r="C1259" s="4">
        <v>2</v>
      </c>
      <c r="D1259" s="8">
        <v>1.55</v>
      </c>
      <c r="E1259" s="4">
        <v>2</v>
      </c>
      <c r="F1259" s="8">
        <v>2.74</v>
      </c>
      <c r="G1259" s="4">
        <v>0</v>
      </c>
      <c r="H1259" s="8">
        <v>0</v>
      </c>
      <c r="I1259" s="4">
        <v>0</v>
      </c>
    </row>
    <row r="1260" spans="1:9" x14ac:dyDescent="0.2">
      <c r="A1260" s="2">
        <v>13</v>
      </c>
      <c r="B1260" s="1" t="s">
        <v>199</v>
      </c>
      <c r="C1260" s="4">
        <v>2</v>
      </c>
      <c r="D1260" s="8">
        <v>1.55</v>
      </c>
      <c r="E1260" s="4">
        <v>1</v>
      </c>
      <c r="F1260" s="8">
        <v>1.37</v>
      </c>
      <c r="G1260" s="4">
        <v>1</v>
      </c>
      <c r="H1260" s="8">
        <v>1.89</v>
      </c>
      <c r="I1260" s="4">
        <v>0</v>
      </c>
    </row>
    <row r="1261" spans="1:9" x14ac:dyDescent="0.2">
      <c r="A1261" s="2">
        <v>13</v>
      </c>
      <c r="B1261" s="1" t="s">
        <v>247</v>
      </c>
      <c r="C1261" s="4">
        <v>2</v>
      </c>
      <c r="D1261" s="8">
        <v>1.55</v>
      </c>
      <c r="E1261" s="4">
        <v>0</v>
      </c>
      <c r="F1261" s="8">
        <v>0</v>
      </c>
      <c r="G1261" s="4">
        <v>2</v>
      </c>
      <c r="H1261" s="8">
        <v>3.77</v>
      </c>
      <c r="I1261" s="4">
        <v>0</v>
      </c>
    </row>
    <row r="1262" spans="1:9" x14ac:dyDescent="0.2">
      <c r="A1262" s="2">
        <v>13</v>
      </c>
      <c r="B1262" s="1" t="s">
        <v>159</v>
      </c>
      <c r="C1262" s="4">
        <v>2</v>
      </c>
      <c r="D1262" s="8">
        <v>1.55</v>
      </c>
      <c r="E1262" s="4">
        <v>1</v>
      </c>
      <c r="F1262" s="8">
        <v>1.37</v>
      </c>
      <c r="G1262" s="4">
        <v>1</v>
      </c>
      <c r="H1262" s="8">
        <v>1.89</v>
      </c>
      <c r="I1262" s="4">
        <v>0</v>
      </c>
    </row>
    <row r="1263" spans="1:9" x14ac:dyDescent="0.2">
      <c r="A1263" s="2">
        <v>13</v>
      </c>
      <c r="B1263" s="1" t="s">
        <v>161</v>
      </c>
      <c r="C1263" s="4">
        <v>2</v>
      </c>
      <c r="D1263" s="8">
        <v>1.55</v>
      </c>
      <c r="E1263" s="4">
        <v>0</v>
      </c>
      <c r="F1263" s="8">
        <v>0</v>
      </c>
      <c r="G1263" s="4">
        <v>2</v>
      </c>
      <c r="H1263" s="8">
        <v>3.77</v>
      </c>
      <c r="I1263" s="4">
        <v>0</v>
      </c>
    </row>
    <row r="1264" spans="1:9" x14ac:dyDescent="0.2">
      <c r="A1264" s="2">
        <v>13</v>
      </c>
      <c r="B1264" s="1" t="s">
        <v>167</v>
      </c>
      <c r="C1264" s="4">
        <v>2</v>
      </c>
      <c r="D1264" s="8">
        <v>1.55</v>
      </c>
      <c r="E1264" s="4">
        <v>1</v>
      </c>
      <c r="F1264" s="8">
        <v>1.37</v>
      </c>
      <c r="G1264" s="4">
        <v>1</v>
      </c>
      <c r="H1264" s="8">
        <v>1.89</v>
      </c>
      <c r="I1264" s="4">
        <v>0</v>
      </c>
    </row>
    <row r="1265" spans="1:9" x14ac:dyDescent="0.2">
      <c r="A1265" s="2">
        <v>13</v>
      </c>
      <c r="B1265" s="1" t="s">
        <v>245</v>
      </c>
      <c r="C1265" s="4">
        <v>2</v>
      </c>
      <c r="D1265" s="8">
        <v>1.55</v>
      </c>
      <c r="E1265" s="4">
        <v>1</v>
      </c>
      <c r="F1265" s="8">
        <v>1.37</v>
      </c>
      <c r="G1265" s="4">
        <v>1</v>
      </c>
      <c r="H1265" s="8">
        <v>1.89</v>
      </c>
      <c r="I1265" s="4">
        <v>0</v>
      </c>
    </row>
    <row r="1266" spans="1:9" x14ac:dyDescent="0.2">
      <c r="A1266" s="2">
        <v>13</v>
      </c>
      <c r="B1266" s="1" t="s">
        <v>197</v>
      </c>
      <c r="C1266" s="4">
        <v>2</v>
      </c>
      <c r="D1266" s="8">
        <v>1.55</v>
      </c>
      <c r="E1266" s="4">
        <v>2</v>
      </c>
      <c r="F1266" s="8">
        <v>2.74</v>
      </c>
      <c r="G1266" s="4">
        <v>0</v>
      </c>
      <c r="H1266" s="8">
        <v>0</v>
      </c>
      <c r="I1266" s="4">
        <v>0</v>
      </c>
    </row>
    <row r="1267" spans="1:9" x14ac:dyDescent="0.2">
      <c r="A1267" s="2">
        <v>13</v>
      </c>
      <c r="B1267" s="1" t="s">
        <v>248</v>
      </c>
      <c r="C1267" s="4">
        <v>2</v>
      </c>
      <c r="D1267" s="8">
        <v>1.55</v>
      </c>
      <c r="E1267" s="4">
        <v>0</v>
      </c>
      <c r="F1267" s="8">
        <v>0</v>
      </c>
      <c r="G1267" s="4">
        <v>2</v>
      </c>
      <c r="H1267" s="8">
        <v>3.77</v>
      </c>
      <c r="I1267" s="4">
        <v>0</v>
      </c>
    </row>
    <row r="1268" spans="1:9" x14ac:dyDescent="0.2">
      <c r="A1268" s="2">
        <v>13</v>
      </c>
      <c r="B1268" s="1" t="s">
        <v>249</v>
      </c>
      <c r="C1268" s="4">
        <v>2</v>
      </c>
      <c r="D1268" s="8">
        <v>1.55</v>
      </c>
      <c r="E1268" s="4">
        <v>0</v>
      </c>
      <c r="F1268" s="8">
        <v>0</v>
      </c>
      <c r="G1268" s="4">
        <v>1</v>
      </c>
      <c r="H1268" s="8">
        <v>1.89</v>
      </c>
      <c r="I1268" s="4">
        <v>0</v>
      </c>
    </row>
    <row r="1269" spans="1:9" x14ac:dyDescent="0.2">
      <c r="A1269" s="1"/>
      <c r="C1269" s="4"/>
      <c r="D1269" s="8"/>
      <c r="E1269" s="4"/>
      <c r="F1269" s="8"/>
      <c r="G1269" s="4"/>
      <c r="H1269" s="8"/>
      <c r="I1269" s="4"/>
    </row>
    <row r="1270" spans="1:9" x14ac:dyDescent="0.2">
      <c r="A1270" s="1" t="s">
        <v>56</v>
      </c>
      <c r="C1270" s="4"/>
      <c r="D1270" s="8"/>
      <c r="E1270" s="4"/>
      <c r="F1270" s="8"/>
      <c r="G1270" s="4"/>
      <c r="H1270" s="8"/>
      <c r="I1270" s="4"/>
    </row>
    <row r="1271" spans="1:9" x14ac:dyDescent="0.2">
      <c r="A1271" s="2">
        <v>1</v>
      </c>
      <c r="B1271" s="1" t="s">
        <v>242</v>
      </c>
      <c r="C1271" s="4">
        <v>42</v>
      </c>
      <c r="D1271" s="8">
        <v>11.2</v>
      </c>
      <c r="E1271" s="4">
        <v>33</v>
      </c>
      <c r="F1271" s="8">
        <v>14.04</v>
      </c>
      <c r="G1271" s="4">
        <v>9</v>
      </c>
      <c r="H1271" s="8">
        <v>6.82</v>
      </c>
      <c r="I1271" s="4">
        <v>0</v>
      </c>
    </row>
    <row r="1272" spans="1:9" x14ac:dyDescent="0.2">
      <c r="A1272" s="2">
        <v>2</v>
      </c>
      <c r="B1272" s="1" t="s">
        <v>220</v>
      </c>
      <c r="C1272" s="4">
        <v>14</v>
      </c>
      <c r="D1272" s="8">
        <v>3.73</v>
      </c>
      <c r="E1272" s="4">
        <v>1</v>
      </c>
      <c r="F1272" s="8">
        <v>0.43</v>
      </c>
      <c r="G1272" s="4">
        <v>13</v>
      </c>
      <c r="H1272" s="8">
        <v>9.85</v>
      </c>
      <c r="I1272" s="4">
        <v>0</v>
      </c>
    </row>
    <row r="1273" spans="1:9" x14ac:dyDescent="0.2">
      <c r="A1273" s="2">
        <v>3</v>
      </c>
      <c r="B1273" s="1" t="s">
        <v>158</v>
      </c>
      <c r="C1273" s="4">
        <v>12</v>
      </c>
      <c r="D1273" s="8">
        <v>3.2</v>
      </c>
      <c r="E1273" s="4">
        <v>10</v>
      </c>
      <c r="F1273" s="8">
        <v>4.26</v>
      </c>
      <c r="G1273" s="4">
        <v>2</v>
      </c>
      <c r="H1273" s="8">
        <v>1.52</v>
      </c>
      <c r="I1273" s="4">
        <v>0</v>
      </c>
    </row>
    <row r="1274" spans="1:9" x14ac:dyDescent="0.2">
      <c r="A1274" s="2">
        <v>3</v>
      </c>
      <c r="B1274" s="1" t="s">
        <v>159</v>
      </c>
      <c r="C1274" s="4">
        <v>12</v>
      </c>
      <c r="D1274" s="8">
        <v>3.2</v>
      </c>
      <c r="E1274" s="4">
        <v>8</v>
      </c>
      <c r="F1274" s="8">
        <v>3.4</v>
      </c>
      <c r="G1274" s="4">
        <v>4</v>
      </c>
      <c r="H1274" s="8">
        <v>3.03</v>
      </c>
      <c r="I1274" s="4">
        <v>0</v>
      </c>
    </row>
    <row r="1275" spans="1:9" x14ac:dyDescent="0.2">
      <c r="A1275" s="2">
        <v>3</v>
      </c>
      <c r="B1275" s="1" t="s">
        <v>172</v>
      </c>
      <c r="C1275" s="4">
        <v>12</v>
      </c>
      <c r="D1275" s="8">
        <v>3.2</v>
      </c>
      <c r="E1275" s="4">
        <v>11</v>
      </c>
      <c r="F1275" s="8">
        <v>4.68</v>
      </c>
      <c r="G1275" s="4">
        <v>1</v>
      </c>
      <c r="H1275" s="8">
        <v>0.76</v>
      </c>
      <c r="I1275" s="4">
        <v>0</v>
      </c>
    </row>
    <row r="1276" spans="1:9" x14ac:dyDescent="0.2">
      <c r="A1276" s="2">
        <v>6</v>
      </c>
      <c r="B1276" s="1" t="s">
        <v>168</v>
      </c>
      <c r="C1276" s="4">
        <v>11</v>
      </c>
      <c r="D1276" s="8">
        <v>2.93</v>
      </c>
      <c r="E1276" s="4">
        <v>10</v>
      </c>
      <c r="F1276" s="8">
        <v>4.26</v>
      </c>
      <c r="G1276" s="4">
        <v>1</v>
      </c>
      <c r="H1276" s="8">
        <v>0.76</v>
      </c>
      <c r="I1276" s="4">
        <v>0</v>
      </c>
    </row>
    <row r="1277" spans="1:9" x14ac:dyDescent="0.2">
      <c r="A1277" s="2">
        <v>7</v>
      </c>
      <c r="B1277" s="1" t="s">
        <v>205</v>
      </c>
      <c r="C1277" s="4">
        <v>9</v>
      </c>
      <c r="D1277" s="8">
        <v>2.4</v>
      </c>
      <c r="E1277" s="4">
        <v>6</v>
      </c>
      <c r="F1277" s="8">
        <v>2.5499999999999998</v>
      </c>
      <c r="G1277" s="4">
        <v>3</v>
      </c>
      <c r="H1277" s="8">
        <v>2.27</v>
      </c>
      <c r="I1277" s="4">
        <v>0</v>
      </c>
    </row>
    <row r="1278" spans="1:9" x14ac:dyDescent="0.2">
      <c r="A1278" s="2">
        <v>7</v>
      </c>
      <c r="B1278" s="1" t="s">
        <v>216</v>
      </c>
      <c r="C1278" s="4">
        <v>9</v>
      </c>
      <c r="D1278" s="8">
        <v>2.4</v>
      </c>
      <c r="E1278" s="4">
        <v>8</v>
      </c>
      <c r="F1278" s="8">
        <v>3.4</v>
      </c>
      <c r="G1278" s="4">
        <v>1</v>
      </c>
      <c r="H1278" s="8">
        <v>0.76</v>
      </c>
      <c r="I1278" s="4">
        <v>0</v>
      </c>
    </row>
    <row r="1279" spans="1:9" x14ac:dyDescent="0.2">
      <c r="A1279" s="2">
        <v>9</v>
      </c>
      <c r="B1279" s="1" t="s">
        <v>223</v>
      </c>
      <c r="C1279" s="4">
        <v>8</v>
      </c>
      <c r="D1279" s="8">
        <v>2.13</v>
      </c>
      <c r="E1279" s="4">
        <v>7</v>
      </c>
      <c r="F1279" s="8">
        <v>2.98</v>
      </c>
      <c r="G1279" s="4">
        <v>1</v>
      </c>
      <c r="H1279" s="8">
        <v>0.76</v>
      </c>
      <c r="I1279" s="4">
        <v>0</v>
      </c>
    </row>
    <row r="1280" spans="1:9" x14ac:dyDescent="0.2">
      <c r="A1280" s="2">
        <v>9</v>
      </c>
      <c r="B1280" s="1" t="s">
        <v>240</v>
      </c>
      <c r="C1280" s="4">
        <v>8</v>
      </c>
      <c r="D1280" s="8">
        <v>2.13</v>
      </c>
      <c r="E1280" s="4">
        <v>7</v>
      </c>
      <c r="F1280" s="8">
        <v>2.98</v>
      </c>
      <c r="G1280" s="4">
        <v>1</v>
      </c>
      <c r="H1280" s="8">
        <v>0.76</v>
      </c>
      <c r="I1280" s="4">
        <v>0</v>
      </c>
    </row>
    <row r="1281" spans="1:9" x14ac:dyDescent="0.2">
      <c r="A1281" s="2">
        <v>9</v>
      </c>
      <c r="B1281" s="1" t="s">
        <v>241</v>
      </c>
      <c r="C1281" s="4">
        <v>8</v>
      </c>
      <c r="D1281" s="8">
        <v>2.13</v>
      </c>
      <c r="E1281" s="4">
        <v>1</v>
      </c>
      <c r="F1281" s="8">
        <v>0.43</v>
      </c>
      <c r="G1281" s="4">
        <v>7</v>
      </c>
      <c r="H1281" s="8">
        <v>5.3</v>
      </c>
      <c r="I1281" s="4">
        <v>0</v>
      </c>
    </row>
    <row r="1282" spans="1:9" x14ac:dyDescent="0.2">
      <c r="A1282" s="2">
        <v>9</v>
      </c>
      <c r="B1282" s="1" t="s">
        <v>248</v>
      </c>
      <c r="C1282" s="4">
        <v>8</v>
      </c>
      <c r="D1282" s="8">
        <v>2.13</v>
      </c>
      <c r="E1282" s="4">
        <v>6</v>
      </c>
      <c r="F1282" s="8">
        <v>2.5499999999999998</v>
      </c>
      <c r="G1282" s="4">
        <v>2</v>
      </c>
      <c r="H1282" s="8">
        <v>1.52</v>
      </c>
      <c r="I1282" s="4">
        <v>0</v>
      </c>
    </row>
    <row r="1283" spans="1:9" x14ac:dyDescent="0.2">
      <c r="A1283" s="2">
        <v>13</v>
      </c>
      <c r="B1283" s="1" t="s">
        <v>250</v>
      </c>
      <c r="C1283" s="4">
        <v>7</v>
      </c>
      <c r="D1283" s="8">
        <v>1.87</v>
      </c>
      <c r="E1283" s="4">
        <v>4</v>
      </c>
      <c r="F1283" s="8">
        <v>1.7</v>
      </c>
      <c r="G1283" s="4">
        <v>3</v>
      </c>
      <c r="H1283" s="8">
        <v>2.27</v>
      </c>
      <c r="I1283" s="4">
        <v>0</v>
      </c>
    </row>
    <row r="1284" spans="1:9" x14ac:dyDescent="0.2">
      <c r="A1284" s="2">
        <v>13</v>
      </c>
      <c r="B1284" s="1" t="s">
        <v>234</v>
      </c>
      <c r="C1284" s="4">
        <v>7</v>
      </c>
      <c r="D1284" s="8">
        <v>1.87</v>
      </c>
      <c r="E1284" s="4">
        <v>5</v>
      </c>
      <c r="F1284" s="8">
        <v>2.13</v>
      </c>
      <c r="G1284" s="4">
        <v>2</v>
      </c>
      <c r="H1284" s="8">
        <v>1.52</v>
      </c>
      <c r="I1284" s="4">
        <v>0</v>
      </c>
    </row>
    <row r="1285" spans="1:9" x14ac:dyDescent="0.2">
      <c r="A1285" s="2">
        <v>13</v>
      </c>
      <c r="B1285" s="1" t="s">
        <v>251</v>
      </c>
      <c r="C1285" s="4">
        <v>7</v>
      </c>
      <c r="D1285" s="8">
        <v>1.87</v>
      </c>
      <c r="E1285" s="4">
        <v>5</v>
      </c>
      <c r="F1285" s="8">
        <v>2.13</v>
      </c>
      <c r="G1285" s="4">
        <v>2</v>
      </c>
      <c r="H1285" s="8">
        <v>1.52</v>
      </c>
      <c r="I1285" s="4">
        <v>0</v>
      </c>
    </row>
    <row r="1286" spans="1:9" x14ac:dyDescent="0.2">
      <c r="A1286" s="2">
        <v>13</v>
      </c>
      <c r="B1286" s="1" t="s">
        <v>170</v>
      </c>
      <c r="C1286" s="4">
        <v>7</v>
      </c>
      <c r="D1286" s="8">
        <v>1.87</v>
      </c>
      <c r="E1286" s="4">
        <v>5</v>
      </c>
      <c r="F1286" s="8">
        <v>2.13</v>
      </c>
      <c r="G1286" s="4">
        <v>2</v>
      </c>
      <c r="H1286" s="8">
        <v>1.52</v>
      </c>
      <c r="I1286" s="4">
        <v>0</v>
      </c>
    </row>
    <row r="1287" spans="1:9" x14ac:dyDescent="0.2">
      <c r="A1287" s="2">
        <v>13</v>
      </c>
      <c r="B1287" s="1" t="s">
        <v>191</v>
      </c>
      <c r="C1287" s="4">
        <v>7</v>
      </c>
      <c r="D1287" s="8">
        <v>1.87</v>
      </c>
      <c r="E1287" s="4">
        <v>7</v>
      </c>
      <c r="F1287" s="8">
        <v>2.98</v>
      </c>
      <c r="G1287" s="4">
        <v>0</v>
      </c>
      <c r="H1287" s="8">
        <v>0</v>
      </c>
      <c r="I1287" s="4">
        <v>0</v>
      </c>
    </row>
    <row r="1288" spans="1:9" x14ac:dyDescent="0.2">
      <c r="A1288" s="2">
        <v>18</v>
      </c>
      <c r="B1288" s="1" t="s">
        <v>206</v>
      </c>
      <c r="C1288" s="4">
        <v>6</v>
      </c>
      <c r="D1288" s="8">
        <v>1.6</v>
      </c>
      <c r="E1288" s="4">
        <v>3</v>
      </c>
      <c r="F1288" s="8">
        <v>1.28</v>
      </c>
      <c r="G1288" s="4">
        <v>3</v>
      </c>
      <c r="H1288" s="8">
        <v>2.27</v>
      </c>
      <c r="I1288" s="4">
        <v>0</v>
      </c>
    </row>
    <row r="1289" spans="1:9" x14ac:dyDescent="0.2">
      <c r="A1289" s="2">
        <v>18</v>
      </c>
      <c r="B1289" s="1" t="s">
        <v>192</v>
      </c>
      <c r="C1289" s="4">
        <v>6</v>
      </c>
      <c r="D1289" s="8">
        <v>1.6</v>
      </c>
      <c r="E1289" s="4">
        <v>1</v>
      </c>
      <c r="F1289" s="8">
        <v>0.43</v>
      </c>
      <c r="G1289" s="4">
        <v>5</v>
      </c>
      <c r="H1289" s="8">
        <v>3.79</v>
      </c>
      <c r="I1289" s="4">
        <v>0</v>
      </c>
    </row>
    <row r="1290" spans="1:9" x14ac:dyDescent="0.2">
      <c r="A1290" s="2">
        <v>18</v>
      </c>
      <c r="B1290" s="1" t="s">
        <v>243</v>
      </c>
      <c r="C1290" s="4">
        <v>6</v>
      </c>
      <c r="D1290" s="8">
        <v>1.6</v>
      </c>
      <c r="E1290" s="4">
        <v>5</v>
      </c>
      <c r="F1290" s="8">
        <v>2.13</v>
      </c>
      <c r="G1290" s="4">
        <v>1</v>
      </c>
      <c r="H1290" s="8">
        <v>0.76</v>
      </c>
      <c r="I1290" s="4">
        <v>0</v>
      </c>
    </row>
    <row r="1291" spans="1:9" x14ac:dyDescent="0.2">
      <c r="A1291" s="2">
        <v>18</v>
      </c>
      <c r="B1291" s="1" t="s">
        <v>173</v>
      </c>
      <c r="C1291" s="4">
        <v>6</v>
      </c>
      <c r="D1291" s="8">
        <v>1.6</v>
      </c>
      <c r="E1291" s="4">
        <v>5</v>
      </c>
      <c r="F1291" s="8">
        <v>2.13</v>
      </c>
      <c r="G1291" s="4">
        <v>1</v>
      </c>
      <c r="H1291" s="8">
        <v>0.76</v>
      </c>
      <c r="I1291" s="4">
        <v>0</v>
      </c>
    </row>
    <row r="1292" spans="1:9" x14ac:dyDescent="0.2">
      <c r="A1292" s="1"/>
      <c r="C1292" s="4"/>
      <c r="D1292" s="8"/>
      <c r="E1292" s="4"/>
      <c r="F1292" s="8"/>
      <c r="G1292" s="4"/>
      <c r="H1292" s="8"/>
      <c r="I1292" s="4"/>
    </row>
    <row r="1293" spans="1:9" x14ac:dyDescent="0.2">
      <c r="A1293" s="1" t="s">
        <v>57</v>
      </c>
      <c r="C1293" s="4"/>
      <c r="D1293" s="8"/>
      <c r="E1293" s="4"/>
      <c r="F1293" s="8"/>
      <c r="G1293" s="4"/>
      <c r="H1293" s="8"/>
      <c r="I1293" s="4"/>
    </row>
    <row r="1294" spans="1:9" x14ac:dyDescent="0.2">
      <c r="A1294" s="2">
        <v>1</v>
      </c>
      <c r="B1294" s="1" t="s">
        <v>242</v>
      </c>
      <c r="C1294" s="4">
        <v>6</v>
      </c>
      <c r="D1294" s="8">
        <v>28.57</v>
      </c>
      <c r="E1294" s="4">
        <v>6</v>
      </c>
      <c r="F1294" s="8">
        <v>40</v>
      </c>
      <c r="G1294" s="4">
        <v>0</v>
      </c>
      <c r="H1294" s="8">
        <v>0</v>
      </c>
      <c r="I1294" s="4">
        <v>0</v>
      </c>
    </row>
    <row r="1295" spans="1:9" x14ac:dyDescent="0.2">
      <c r="A1295" s="2">
        <v>2</v>
      </c>
      <c r="B1295" s="1" t="s">
        <v>158</v>
      </c>
      <c r="C1295" s="4">
        <v>3</v>
      </c>
      <c r="D1295" s="8">
        <v>14.29</v>
      </c>
      <c r="E1295" s="4">
        <v>3</v>
      </c>
      <c r="F1295" s="8">
        <v>20</v>
      </c>
      <c r="G1295" s="4">
        <v>0</v>
      </c>
      <c r="H1295" s="8">
        <v>0</v>
      </c>
      <c r="I1295" s="4">
        <v>0</v>
      </c>
    </row>
    <row r="1296" spans="1:9" x14ac:dyDescent="0.2">
      <c r="A1296" s="2">
        <v>3</v>
      </c>
      <c r="B1296" s="1" t="s">
        <v>220</v>
      </c>
      <c r="C1296" s="4">
        <v>2</v>
      </c>
      <c r="D1296" s="8">
        <v>9.52</v>
      </c>
      <c r="E1296" s="4">
        <v>1</v>
      </c>
      <c r="F1296" s="8">
        <v>6.67</v>
      </c>
      <c r="G1296" s="4">
        <v>1</v>
      </c>
      <c r="H1296" s="8">
        <v>25</v>
      </c>
      <c r="I1296" s="4">
        <v>0</v>
      </c>
    </row>
    <row r="1297" spans="1:9" x14ac:dyDescent="0.2">
      <c r="A1297" s="2">
        <v>3</v>
      </c>
      <c r="B1297" s="1" t="s">
        <v>216</v>
      </c>
      <c r="C1297" s="4">
        <v>2</v>
      </c>
      <c r="D1297" s="8">
        <v>9.52</v>
      </c>
      <c r="E1297" s="4">
        <v>2</v>
      </c>
      <c r="F1297" s="8">
        <v>13.33</v>
      </c>
      <c r="G1297" s="4">
        <v>0</v>
      </c>
      <c r="H1297" s="8">
        <v>0</v>
      </c>
      <c r="I1297" s="4">
        <v>0</v>
      </c>
    </row>
    <row r="1298" spans="1:9" x14ac:dyDescent="0.2">
      <c r="A1298" s="2">
        <v>5</v>
      </c>
      <c r="B1298" s="1" t="s">
        <v>192</v>
      </c>
      <c r="C1298" s="4">
        <v>1</v>
      </c>
      <c r="D1298" s="8">
        <v>4.76</v>
      </c>
      <c r="E1298" s="4">
        <v>1</v>
      </c>
      <c r="F1298" s="8">
        <v>6.67</v>
      </c>
      <c r="G1298" s="4">
        <v>0</v>
      </c>
      <c r="H1298" s="8">
        <v>0</v>
      </c>
      <c r="I1298" s="4">
        <v>0</v>
      </c>
    </row>
    <row r="1299" spans="1:9" x14ac:dyDescent="0.2">
      <c r="A1299" s="2">
        <v>5</v>
      </c>
      <c r="B1299" s="1" t="s">
        <v>252</v>
      </c>
      <c r="C1299" s="4">
        <v>1</v>
      </c>
      <c r="D1299" s="8">
        <v>4.76</v>
      </c>
      <c r="E1299" s="4">
        <v>0</v>
      </c>
      <c r="F1299" s="8">
        <v>0</v>
      </c>
      <c r="G1299" s="4">
        <v>1</v>
      </c>
      <c r="H1299" s="8">
        <v>25</v>
      </c>
      <c r="I1299" s="4">
        <v>0</v>
      </c>
    </row>
    <row r="1300" spans="1:9" x14ac:dyDescent="0.2">
      <c r="A1300" s="2">
        <v>5</v>
      </c>
      <c r="B1300" s="1" t="s">
        <v>253</v>
      </c>
      <c r="C1300" s="4">
        <v>1</v>
      </c>
      <c r="D1300" s="8">
        <v>4.76</v>
      </c>
      <c r="E1300" s="4">
        <v>0</v>
      </c>
      <c r="F1300" s="8">
        <v>0</v>
      </c>
      <c r="G1300" s="4">
        <v>0</v>
      </c>
      <c r="H1300" s="8">
        <v>0</v>
      </c>
      <c r="I1300" s="4">
        <v>0</v>
      </c>
    </row>
    <row r="1301" spans="1:9" x14ac:dyDescent="0.2">
      <c r="A1301" s="2">
        <v>5</v>
      </c>
      <c r="B1301" s="1" t="s">
        <v>254</v>
      </c>
      <c r="C1301" s="4">
        <v>1</v>
      </c>
      <c r="D1301" s="8">
        <v>4.76</v>
      </c>
      <c r="E1301" s="4">
        <v>0</v>
      </c>
      <c r="F1301" s="8">
        <v>0</v>
      </c>
      <c r="G1301" s="4">
        <v>1</v>
      </c>
      <c r="H1301" s="8">
        <v>25</v>
      </c>
      <c r="I1301" s="4">
        <v>0</v>
      </c>
    </row>
    <row r="1302" spans="1:9" x14ac:dyDescent="0.2">
      <c r="A1302" s="2">
        <v>5</v>
      </c>
      <c r="B1302" s="1" t="s">
        <v>221</v>
      </c>
      <c r="C1302" s="4">
        <v>1</v>
      </c>
      <c r="D1302" s="8">
        <v>4.76</v>
      </c>
      <c r="E1302" s="4">
        <v>1</v>
      </c>
      <c r="F1302" s="8">
        <v>6.67</v>
      </c>
      <c r="G1302" s="4">
        <v>0</v>
      </c>
      <c r="H1302" s="8">
        <v>0</v>
      </c>
      <c r="I1302" s="4">
        <v>0</v>
      </c>
    </row>
    <row r="1303" spans="1:9" x14ac:dyDescent="0.2">
      <c r="A1303" s="2">
        <v>5</v>
      </c>
      <c r="B1303" s="1" t="s">
        <v>171</v>
      </c>
      <c r="C1303" s="4">
        <v>1</v>
      </c>
      <c r="D1303" s="8">
        <v>4.76</v>
      </c>
      <c r="E1303" s="4">
        <v>1</v>
      </c>
      <c r="F1303" s="8">
        <v>6.67</v>
      </c>
      <c r="G1303" s="4">
        <v>0</v>
      </c>
      <c r="H1303" s="8">
        <v>0</v>
      </c>
      <c r="I1303" s="4">
        <v>0</v>
      </c>
    </row>
    <row r="1304" spans="1:9" x14ac:dyDescent="0.2">
      <c r="A1304" s="2">
        <v>5</v>
      </c>
      <c r="B1304" s="1" t="s">
        <v>255</v>
      </c>
      <c r="C1304" s="4">
        <v>1</v>
      </c>
      <c r="D1304" s="8">
        <v>4.76</v>
      </c>
      <c r="E1304" s="4">
        <v>0</v>
      </c>
      <c r="F1304" s="8">
        <v>0</v>
      </c>
      <c r="G1304" s="4">
        <v>1</v>
      </c>
      <c r="H1304" s="8">
        <v>25</v>
      </c>
      <c r="I1304" s="4">
        <v>0</v>
      </c>
    </row>
    <row r="1305" spans="1:9" x14ac:dyDescent="0.2">
      <c r="A1305" s="2">
        <v>5</v>
      </c>
      <c r="B1305" s="1" t="s">
        <v>256</v>
      </c>
      <c r="C1305" s="4">
        <v>1</v>
      </c>
      <c r="D1305" s="8">
        <v>4.76</v>
      </c>
      <c r="E1305" s="4">
        <v>0</v>
      </c>
      <c r="F1305" s="8">
        <v>0</v>
      </c>
      <c r="G1305" s="4">
        <v>0</v>
      </c>
      <c r="H1305" s="8">
        <v>0</v>
      </c>
      <c r="I1305" s="4">
        <v>0</v>
      </c>
    </row>
    <row r="1306" spans="1:9" x14ac:dyDescent="0.2">
      <c r="A1306" s="1"/>
      <c r="C1306" s="4"/>
      <c r="D1306" s="8"/>
      <c r="E1306" s="4"/>
      <c r="F1306" s="8"/>
      <c r="G1306" s="4"/>
      <c r="H1306" s="8"/>
      <c r="I1306" s="4"/>
    </row>
    <row r="1307" spans="1:9" x14ac:dyDescent="0.2">
      <c r="A1307" s="1" t="s">
        <v>58</v>
      </c>
      <c r="C1307" s="4"/>
      <c r="D1307" s="8"/>
      <c r="E1307" s="4"/>
      <c r="F1307" s="8"/>
      <c r="G1307" s="4"/>
      <c r="H1307" s="8"/>
      <c r="I1307" s="4"/>
    </row>
    <row r="1308" spans="1:9" x14ac:dyDescent="0.2">
      <c r="A1308" s="2">
        <v>1</v>
      </c>
      <c r="B1308" s="1" t="s">
        <v>242</v>
      </c>
      <c r="C1308" s="4">
        <v>54</v>
      </c>
      <c r="D1308" s="8">
        <v>34.619999999999997</v>
      </c>
      <c r="E1308" s="4">
        <v>53</v>
      </c>
      <c r="F1308" s="8">
        <v>43.09</v>
      </c>
      <c r="G1308" s="4">
        <v>1</v>
      </c>
      <c r="H1308" s="8">
        <v>4.17</v>
      </c>
      <c r="I1308" s="4">
        <v>0</v>
      </c>
    </row>
    <row r="1309" spans="1:9" x14ac:dyDescent="0.2">
      <c r="A1309" s="2">
        <v>2</v>
      </c>
      <c r="B1309" s="1" t="s">
        <v>243</v>
      </c>
      <c r="C1309" s="4">
        <v>7</v>
      </c>
      <c r="D1309" s="8">
        <v>4.49</v>
      </c>
      <c r="E1309" s="4">
        <v>7</v>
      </c>
      <c r="F1309" s="8">
        <v>5.69</v>
      </c>
      <c r="G1309" s="4">
        <v>0</v>
      </c>
      <c r="H1309" s="8">
        <v>0</v>
      </c>
      <c r="I1309" s="4">
        <v>0</v>
      </c>
    </row>
    <row r="1310" spans="1:9" x14ac:dyDescent="0.2">
      <c r="A1310" s="2">
        <v>3</v>
      </c>
      <c r="B1310" s="1" t="s">
        <v>227</v>
      </c>
      <c r="C1310" s="4">
        <v>4</v>
      </c>
      <c r="D1310" s="8">
        <v>2.56</v>
      </c>
      <c r="E1310" s="4">
        <v>4</v>
      </c>
      <c r="F1310" s="8">
        <v>3.25</v>
      </c>
      <c r="G1310" s="4">
        <v>0</v>
      </c>
      <c r="H1310" s="8">
        <v>0</v>
      </c>
      <c r="I1310" s="4">
        <v>0</v>
      </c>
    </row>
    <row r="1311" spans="1:9" x14ac:dyDescent="0.2">
      <c r="A1311" s="2">
        <v>3</v>
      </c>
      <c r="B1311" s="1" t="s">
        <v>257</v>
      </c>
      <c r="C1311" s="4">
        <v>4</v>
      </c>
      <c r="D1311" s="8">
        <v>2.56</v>
      </c>
      <c r="E1311" s="4">
        <v>4</v>
      </c>
      <c r="F1311" s="8">
        <v>3.25</v>
      </c>
      <c r="G1311" s="4">
        <v>0</v>
      </c>
      <c r="H1311" s="8">
        <v>0</v>
      </c>
      <c r="I1311" s="4">
        <v>0</v>
      </c>
    </row>
    <row r="1312" spans="1:9" x14ac:dyDescent="0.2">
      <c r="A1312" s="2">
        <v>3</v>
      </c>
      <c r="B1312" s="1" t="s">
        <v>159</v>
      </c>
      <c r="C1312" s="4">
        <v>4</v>
      </c>
      <c r="D1312" s="8">
        <v>2.56</v>
      </c>
      <c r="E1312" s="4">
        <v>3</v>
      </c>
      <c r="F1312" s="8">
        <v>2.44</v>
      </c>
      <c r="G1312" s="4">
        <v>1</v>
      </c>
      <c r="H1312" s="8">
        <v>4.17</v>
      </c>
      <c r="I1312" s="4">
        <v>0</v>
      </c>
    </row>
    <row r="1313" spans="1:9" x14ac:dyDescent="0.2">
      <c r="A1313" s="2">
        <v>3</v>
      </c>
      <c r="B1313" s="1" t="s">
        <v>170</v>
      </c>
      <c r="C1313" s="4">
        <v>4</v>
      </c>
      <c r="D1313" s="8">
        <v>2.56</v>
      </c>
      <c r="E1313" s="4">
        <v>4</v>
      </c>
      <c r="F1313" s="8">
        <v>3.25</v>
      </c>
      <c r="G1313" s="4">
        <v>0</v>
      </c>
      <c r="H1313" s="8">
        <v>0</v>
      </c>
      <c r="I1313" s="4">
        <v>0</v>
      </c>
    </row>
    <row r="1314" spans="1:9" x14ac:dyDescent="0.2">
      <c r="A1314" s="2">
        <v>7</v>
      </c>
      <c r="B1314" s="1" t="s">
        <v>192</v>
      </c>
      <c r="C1314" s="4">
        <v>3</v>
      </c>
      <c r="D1314" s="8">
        <v>1.92</v>
      </c>
      <c r="E1314" s="4">
        <v>2</v>
      </c>
      <c r="F1314" s="8">
        <v>1.63</v>
      </c>
      <c r="G1314" s="4">
        <v>1</v>
      </c>
      <c r="H1314" s="8">
        <v>4.17</v>
      </c>
      <c r="I1314" s="4">
        <v>0</v>
      </c>
    </row>
    <row r="1315" spans="1:9" x14ac:dyDescent="0.2">
      <c r="A1315" s="2">
        <v>7</v>
      </c>
      <c r="B1315" s="1" t="s">
        <v>201</v>
      </c>
      <c r="C1315" s="4">
        <v>3</v>
      </c>
      <c r="D1315" s="8">
        <v>1.92</v>
      </c>
      <c r="E1315" s="4">
        <v>2</v>
      </c>
      <c r="F1315" s="8">
        <v>1.63</v>
      </c>
      <c r="G1315" s="4">
        <v>1</v>
      </c>
      <c r="H1315" s="8">
        <v>4.17</v>
      </c>
      <c r="I1315" s="4">
        <v>0</v>
      </c>
    </row>
    <row r="1316" spans="1:9" x14ac:dyDescent="0.2">
      <c r="A1316" s="2">
        <v>7</v>
      </c>
      <c r="B1316" s="1" t="s">
        <v>250</v>
      </c>
      <c r="C1316" s="4">
        <v>3</v>
      </c>
      <c r="D1316" s="8">
        <v>1.92</v>
      </c>
      <c r="E1316" s="4">
        <v>2</v>
      </c>
      <c r="F1316" s="8">
        <v>1.63</v>
      </c>
      <c r="G1316" s="4">
        <v>1</v>
      </c>
      <c r="H1316" s="8">
        <v>4.17</v>
      </c>
      <c r="I1316" s="4">
        <v>0</v>
      </c>
    </row>
    <row r="1317" spans="1:9" x14ac:dyDescent="0.2">
      <c r="A1317" s="2">
        <v>7</v>
      </c>
      <c r="B1317" s="1" t="s">
        <v>205</v>
      </c>
      <c r="C1317" s="4">
        <v>3</v>
      </c>
      <c r="D1317" s="8">
        <v>1.92</v>
      </c>
      <c r="E1317" s="4">
        <v>3</v>
      </c>
      <c r="F1317" s="8">
        <v>2.44</v>
      </c>
      <c r="G1317" s="4">
        <v>0</v>
      </c>
      <c r="H1317" s="8">
        <v>0</v>
      </c>
      <c r="I1317" s="4">
        <v>0</v>
      </c>
    </row>
    <row r="1318" spans="1:9" x14ac:dyDescent="0.2">
      <c r="A1318" s="2">
        <v>7</v>
      </c>
      <c r="B1318" s="1" t="s">
        <v>221</v>
      </c>
      <c r="C1318" s="4">
        <v>3</v>
      </c>
      <c r="D1318" s="8">
        <v>1.92</v>
      </c>
      <c r="E1318" s="4">
        <v>3</v>
      </c>
      <c r="F1318" s="8">
        <v>2.44</v>
      </c>
      <c r="G1318" s="4">
        <v>0</v>
      </c>
      <c r="H1318" s="8">
        <v>0</v>
      </c>
      <c r="I1318" s="4">
        <v>0</v>
      </c>
    </row>
    <row r="1319" spans="1:9" x14ac:dyDescent="0.2">
      <c r="A1319" s="2">
        <v>7</v>
      </c>
      <c r="B1319" s="1" t="s">
        <v>241</v>
      </c>
      <c r="C1319" s="4">
        <v>3</v>
      </c>
      <c r="D1319" s="8">
        <v>1.92</v>
      </c>
      <c r="E1319" s="4">
        <v>2</v>
      </c>
      <c r="F1319" s="8">
        <v>1.63</v>
      </c>
      <c r="G1319" s="4">
        <v>1</v>
      </c>
      <c r="H1319" s="8">
        <v>4.17</v>
      </c>
      <c r="I1319" s="4">
        <v>0</v>
      </c>
    </row>
    <row r="1320" spans="1:9" x14ac:dyDescent="0.2">
      <c r="A1320" s="2">
        <v>7</v>
      </c>
      <c r="B1320" s="1" t="s">
        <v>168</v>
      </c>
      <c r="C1320" s="4">
        <v>3</v>
      </c>
      <c r="D1320" s="8">
        <v>1.92</v>
      </c>
      <c r="E1320" s="4">
        <v>3</v>
      </c>
      <c r="F1320" s="8">
        <v>2.44</v>
      </c>
      <c r="G1320" s="4">
        <v>0</v>
      </c>
      <c r="H1320" s="8">
        <v>0</v>
      </c>
      <c r="I1320" s="4">
        <v>0</v>
      </c>
    </row>
    <row r="1321" spans="1:9" x14ac:dyDescent="0.2">
      <c r="A1321" s="2">
        <v>7</v>
      </c>
      <c r="B1321" s="1" t="s">
        <v>169</v>
      </c>
      <c r="C1321" s="4">
        <v>3</v>
      </c>
      <c r="D1321" s="8">
        <v>1.92</v>
      </c>
      <c r="E1321" s="4">
        <v>3</v>
      </c>
      <c r="F1321" s="8">
        <v>2.44</v>
      </c>
      <c r="G1321" s="4">
        <v>0</v>
      </c>
      <c r="H1321" s="8">
        <v>0</v>
      </c>
      <c r="I1321" s="4">
        <v>0</v>
      </c>
    </row>
    <row r="1322" spans="1:9" x14ac:dyDescent="0.2">
      <c r="A1322" s="2">
        <v>7</v>
      </c>
      <c r="B1322" s="1" t="s">
        <v>248</v>
      </c>
      <c r="C1322" s="4">
        <v>3</v>
      </c>
      <c r="D1322" s="8">
        <v>1.92</v>
      </c>
      <c r="E1322" s="4">
        <v>3</v>
      </c>
      <c r="F1322" s="8">
        <v>2.44</v>
      </c>
      <c r="G1322" s="4">
        <v>0</v>
      </c>
      <c r="H1322" s="8">
        <v>0</v>
      </c>
      <c r="I1322" s="4">
        <v>0</v>
      </c>
    </row>
    <row r="1323" spans="1:9" x14ac:dyDescent="0.2">
      <c r="A1323" s="2">
        <v>16</v>
      </c>
      <c r="B1323" s="1" t="s">
        <v>258</v>
      </c>
      <c r="C1323" s="4">
        <v>2</v>
      </c>
      <c r="D1323" s="8">
        <v>1.28</v>
      </c>
      <c r="E1323" s="4">
        <v>0</v>
      </c>
      <c r="F1323" s="8">
        <v>0</v>
      </c>
      <c r="G1323" s="4">
        <v>2</v>
      </c>
      <c r="H1323" s="8">
        <v>8.33</v>
      </c>
      <c r="I1323" s="4">
        <v>0</v>
      </c>
    </row>
    <row r="1324" spans="1:9" x14ac:dyDescent="0.2">
      <c r="A1324" s="2">
        <v>16</v>
      </c>
      <c r="B1324" s="1" t="s">
        <v>259</v>
      </c>
      <c r="C1324" s="4">
        <v>2</v>
      </c>
      <c r="D1324" s="8">
        <v>1.28</v>
      </c>
      <c r="E1324" s="4">
        <v>0</v>
      </c>
      <c r="F1324" s="8">
        <v>0</v>
      </c>
      <c r="G1324" s="4">
        <v>2</v>
      </c>
      <c r="H1324" s="8">
        <v>8.33</v>
      </c>
      <c r="I1324" s="4">
        <v>0</v>
      </c>
    </row>
    <row r="1325" spans="1:9" x14ac:dyDescent="0.2">
      <c r="A1325" s="2">
        <v>16</v>
      </c>
      <c r="B1325" s="1" t="s">
        <v>199</v>
      </c>
      <c r="C1325" s="4">
        <v>2</v>
      </c>
      <c r="D1325" s="8">
        <v>1.28</v>
      </c>
      <c r="E1325" s="4">
        <v>2</v>
      </c>
      <c r="F1325" s="8">
        <v>1.63</v>
      </c>
      <c r="G1325" s="4">
        <v>0</v>
      </c>
      <c r="H1325" s="8">
        <v>0</v>
      </c>
      <c r="I1325" s="4">
        <v>0</v>
      </c>
    </row>
    <row r="1326" spans="1:9" x14ac:dyDescent="0.2">
      <c r="A1326" s="2">
        <v>16</v>
      </c>
      <c r="B1326" s="1" t="s">
        <v>240</v>
      </c>
      <c r="C1326" s="4">
        <v>2</v>
      </c>
      <c r="D1326" s="8">
        <v>1.28</v>
      </c>
      <c r="E1326" s="4">
        <v>2</v>
      </c>
      <c r="F1326" s="8">
        <v>1.63</v>
      </c>
      <c r="G1326" s="4">
        <v>0</v>
      </c>
      <c r="H1326" s="8">
        <v>0</v>
      </c>
      <c r="I1326" s="4">
        <v>0</v>
      </c>
    </row>
    <row r="1327" spans="1:9" x14ac:dyDescent="0.2">
      <c r="A1327" s="2">
        <v>16</v>
      </c>
      <c r="B1327" s="1" t="s">
        <v>158</v>
      </c>
      <c r="C1327" s="4">
        <v>2</v>
      </c>
      <c r="D1327" s="8">
        <v>1.28</v>
      </c>
      <c r="E1327" s="4">
        <v>2</v>
      </c>
      <c r="F1327" s="8">
        <v>1.63</v>
      </c>
      <c r="G1327" s="4">
        <v>0</v>
      </c>
      <c r="H1327" s="8">
        <v>0</v>
      </c>
      <c r="I1327" s="4">
        <v>0</v>
      </c>
    </row>
    <row r="1328" spans="1:9" x14ac:dyDescent="0.2">
      <c r="A1328" s="2">
        <v>16</v>
      </c>
      <c r="B1328" s="1" t="s">
        <v>260</v>
      </c>
      <c r="C1328" s="4">
        <v>2</v>
      </c>
      <c r="D1328" s="8">
        <v>1.28</v>
      </c>
      <c r="E1328" s="4">
        <v>1</v>
      </c>
      <c r="F1328" s="8">
        <v>0.81</v>
      </c>
      <c r="G1328" s="4">
        <v>1</v>
      </c>
      <c r="H1328" s="8">
        <v>4.17</v>
      </c>
      <c r="I1328" s="4">
        <v>0</v>
      </c>
    </row>
    <row r="1329" spans="1:9" x14ac:dyDescent="0.2">
      <c r="A1329" s="2">
        <v>16</v>
      </c>
      <c r="B1329" s="1" t="s">
        <v>217</v>
      </c>
      <c r="C1329" s="4">
        <v>2</v>
      </c>
      <c r="D1329" s="8">
        <v>1.28</v>
      </c>
      <c r="E1329" s="4">
        <v>2</v>
      </c>
      <c r="F1329" s="8">
        <v>1.63</v>
      </c>
      <c r="G1329" s="4">
        <v>0</v>
      </c>
      <c r="H1329" s="8">
        <v>0</v>
      </c>
      <c r="I1329" s="4">
        <v>0</v>
      </c>
    </row>
    <row r="1330" spans="1:9" x14ac:dyDescent="0.2">
      <c r="A1330" s="2">
        <v>16</v>
      </c>
      <c r="B1330" s="1" t="s">
        <v>171</v>
      </c>
      <c r="C1330" s="4">
        <v>2</v>
      </c>
      <c r="D1330" s="8">
        <v>1.28</v>
      </c>
      <c r="E1330" s="4">
        <v>2</v>
      </c>
      <c r="F1330" s="8">
        <v>1.63</v>
      </c>
      <c r="G1330" s="4">
        <v>0</v>
      </c>
      <c r="H1330" s="8">
        <v>0</v>
      </c>
      <c r="I1330" s="4">
        <v>0</v>
      </c>
    </row>
    <row r="1331" spans="1:9" x14ac:dyDescent="0.2">
      <c r="A1331" s="2">
        <v>16</v>
      </c>
      <c r="B1331" s="1" t="s">
        <v>172</v>
      </c>
      <c r="C1331" s="4">
        <v>2</v>
      </c>
      <c r="D1331" s="8">
        <v>1.28</v>
      </c>
      <c r="E1331" s="4">
        <v>2</v>
      </c>
      <c r="F1331" s="8">
        <v>1.63</v>
      </c>
      <c r="G1331" s="4">
        <v>0</v>
      </c>
      <c r="H1331" s="8">
        <v>0</v>
      </c>
      <c r="I1331" s="4">
        <v>0</v>
      </c>
    </row>
    <row r="1332" spans="1:9" x14ac:dyDescent="0.2">
      <c r="A1332" s="2">
        <v>16</v>
      </c>
      <c r="B1332" s="1" t="s">
        <v>249</v>
      </c>
      <c r="C1332" s="4">
        <v>2</v>
      </c>
      <c r="D1332" s="8">
        <v>1.28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2">
      <c r="A1333" s="1"/>
      <c r="C1333" s="4"/>
      <c r="D1333" s="8"/>
      <c r="E1333" s="4"/>
      <c r="F1333" s="8"/>
      <c r="G1333" s="4"/>
      <c r="H1333" s="8"/>
      <c r="I1333" s="4"/>
    </row>
    <row r="1334" spans="1:9" x14ac:dyDescent="0.2">
      <c r="A1334" s="1" t="s">
        <v>59</v>
      </c>
      <c r="C1334" s="4"/>
      <c r="D1334" s="8"/>
      <c r="E1334" s="4"/>
      <c r="F1334" s="8"/>
      <c r="G1334" s="4"/>
      <c r="H1334" s="8"/>
      <c r="I1334" s="4"/>
    </row>
    <row r="1335" spans="1:9" x14ac:dyDescent="0.2">
      <c r="A1335" s="2">
        <v>1</v>
      </c>
      <c r="B1335" s="1" t="s">
        <v>242</v>
      </c>
      <c r="C1335" s="4">
        <v>35</v>
      </c>
      <c r="D1335" s="8">
        <v>27.34</v>
      </c>
      <c r="E1335" s="4">
        <v>33</v>
      </c>
      <c r="F1335" s="8">
        <v>30.84</v>
      </c>
      <c r="G1335" s="4">
        <v>2</v>
      </c>
      <c r="H1335" s="8">
        <v>13.33</v>
      </c>
      <c r="I1335" s="4">
        <v>0</v>
      </c>
    </row>
    <row r="1336" spans="1:9" x14ac:dyDescent="0.2">
      <c r="A1336" s="2">
        <v>2</v>
      </c>
      <c r="B1336" s="1" t="s">
        <v>243</v>
      </c>
      <c r="C1336" s="4">
        <v>7</v>
      </c>
      <c r="D1336" s="8">
        <v>5.47</v>
      </c>
      <c r="E1336" s="4">
        <v>6</v>
      </c>
      <c r="F1336" s="8">
        <v>5.61</v>
      </c>
      <c r="G1336" s="4">
        <v>1</v>
      </c>
      <c r="H1336" s="8">
        <v>6.67</v>
      </c>
      <c r="I1336" s="4">
        <v>0</v>
      </c>
    </row>
    <row r="1337" spans="1:9" x14ac:dyDescent="0.2">
      <c r="A1337" s="2">
        <v>3</v>
      </c>
      <c r="B1337" s="1" t="s">
        <v>170</v>
      </c>
      <c r="C1337" s="4">
        <v>5</v>
      </c>
      <c r="D1337" s="8">
        <v>3.91</v>
      </c>
      <c r="E1337" s="4">
        <v>5</v>
      </c>
      <c r="F1337" s="8">
        <v>4.67</v>
      </c>
      <c r="G1337" s="4">
        <v>0</v>
      </c>
      <c r="H1337" s="8">
        <v>0</v>
      </c>
      <c r="I1337" s="4">
        <v>0</v>
      </c>
    </row>
    <row r="1338" spans="1:9" x14ac:dyDescent="0.2">
      <c r="A1338" s="2">
        <v>3</v>
      </c>
      <c r="B1338" s="1" t="s">
        <v>248</v>
      </c>
      <c r="C1338" s="4">
        <v>5</v>
      </c>
      <c r="D1338" s="8">
        <v>3.91</v>
      </c>
      <c r="E1338" s="4">
        <v>5</v>
      </c>
      <c r="F1338" s="8">
        <v>4.67</v>
      </c>
      <c r="G1338" s="4">
        <v>0</v>
      </c>
      <c r="H1338" s="8">
        <v>0</v>
      </c>
      <c r="I1338" s="4">
        <v>0</v>
      </c>
    </row>
    <row r="1339" spans="1:9" x14ac:dyDescent="0.2">
      <c r="A1339" s="2">
        <v>5</v>
      </c>
      <c r="B1339" s="1" t="s">
        <v>223</v>
      </c>
      <c r="C1339" s="4">
        <v>4</v>
      </c>
      <c r="D1339" s="8">
        <v>3.13</v>
      </c>
      <c r="E1339" s="4">
        <v>4</v>
      </c>
      <c r="F1339" s="8">
        <v>3.74</v>
      </c>
      <c r="G1339" s="4">
        <v>0</v>
      </c>
      <c r="H1339" s="8">
        <v>0</v>
      </c>
      <c r="I1339" s="4">
        <v>0</v>
      </c>
    </row>
    <row r="1340" spans="1:9" x14ac:dyDescent="0.2">
      <c r="A1340" s="2">
        <v>5</v>
      </c>
      <c r="B1340" s="1" t="s">
        <v>159</v>
      </c>
      <c r="C1340" s="4">
        <v>4</v>
      </c>
      <c r="D1340" s="8">
        <v>3.13</v>
      </c>
      <c r="E1340" s="4">
        <v>3</v>
      </c>
      <c r="F1340" s="8">
        <v>2.8</v>
      </c>
      <c r="G1340" s="4">
        <v>1</v>
      </c>
      <c r="H1340" s="8">
        <v>6.67</v>
      </c>
      <c r="I1340" s="4">
        <v>0</v>
      </c>
    </row>
    <row r="1341" spans="1:9" x14ac:dyDescent="0.2">
      <c r="A1341" s="2">
        <v>5</v>
      </c>
      <c r="B1341" s="1" t="s">
        <v>172</v>
      </c>
      <c r="C1341" s="4">
        <v>4</v>
      </c>
      <c r="D1341" s="8">
        <v>3.13</v>
      </c>
      <c r="E1341" s="4">
        <v>4</v>
      </c>
      <c r="F1341" s="8">
        <v>3.74</v>
      </c>
      <c r="G1341" s="4">
        <v>0</v>
      </c>
      <c r="H1341" s="8">
        <v>0</v>
      </c>
      <c r="I1341" s="4">
        <v>0</v>
      </c>
    </row>
    <row r="1342" spans="1:9" x14ac:dyDescent="0.2">
      <c r="A1342" s="2">
        <v>8</v>
      </c>
      <c r="B1342" s="1" t="s">
        <v>192</v>
      </c>
      <c r="C1342" s="4">
        <v>3</v>
      </c>
      <c r="D1342" s="8">
        <v>2.34</v>
      </c>
      <c r="E1342" s="4">
        <v>1</v>
      </c>
      <c r="F1342" s="8">
        <v>0.93</v>
      </c>
      <c r="G1342" s="4">
        <v>2</v>
      </c>
      <c r="H1342" s="8">
        <v>13.33</v>
      </c>
      <c r="I1342" s="4">
        <v>0</v>
      </c>
    </row>
    <row r="1343" spans="1:9" x14ac:dyDescent="0.2">
      <c r="A1343" s="2">
        <v>8</v>
      </c>
      <c r="B1343" s="1" t="s">
        <v>263</v>
      </c>
      <c r="C1343" s="4">
        <v>3</v>
      </c>
      <c r="D1343" s="8">
        <v>2.34</v>
      </c>
      <c r="E1343" s="4">
        <v>2</v>
      </c>
      <c r="F1343" s="8">
        <v>1.87</v>
      </c>
      <c r="G1343" s="4">
        <v>1</v>
      </c>
      <c r="H1343" s="8">
        <v>6.67</v>
      </c>
      <c r="I1343" s="4">
        <v>0</v>
      </c>
    </row>
    <row r="1344" spans="1:9" x14ac:dyDescent="0.2">
      <c r="A1344" s="2">
        <v>8</v>
      </c>
      <c r="B1344" s="1" t="s">
        <v>168</v>
      </c>
      <c r="C1344" s="4">
        <v>3</v>
      </c>
      <c r="D1344" s="8">
        <v>2.34</v>
      </c>
      <c r="E1344" s="4">
        <v>3</v>
      </c>
      <c r="F1344" s="8">
        <v>2.8</v>
      </c>
      <c r="G1344" s="4">
        <v>0</v>
      </c>
      <c r="H1344" s="8">
        <v>0</v>
      </c>
      <c r="I1344" s="4">
        <v>0</v>
      </c>
    </row>
    <row r="1345" spans="1:9" x14ac:dyDescent="0.2">
      <c r="A1345" s="2">
        <v>11</v>
      </c>
      <c r="B1345" s="1" t="s">
        <v>261</v>
      </c>
      <c r="C1345" s="4">
        <v>2</v>
      </c>
      <c r="D1345" s="8">
        <v>1.56</v>
      </c>
      <c r="E1345" s="4">
        <v>2</v>
      </c>
      <c r="F1345" s="8">
        <v>1.87</v>
      </c>
      <c r="G1345" s="4">
        <v>0</v>
      </c>
      <c r="H1345" s="8">
        <v>0</v>
      </c>
      <c r="I1345" s="4">
        <v>0</v>
      </c>
    </row>
    <row r="1346" spans="1:9" x14ac:dyDescent="0.2">
      <c r="A1346" s="2">
        <v>11</v>
      </c>
      <c r="B1346" s="1" t="s">
        <v>201</v>
      </c>
      <c r="C1346" s="4">
        <v>2</v>
      </c>
      <c r="D1346" s="8">
        <v>1.56</v>
      </c>
      <c r="E1346" s="4">
        <v>1</v>
      </c>
      <c r="F1346" s="8">
        <v>0.93</v>
      </c>
      <c r="G1346" s="4">
        <v>1</v>
      </c>
      <c r="H1346" s="8">
        <v>6.67</v>
      </c>
      <c r="I1346" s="4">
        <v>0</v>
      </c>
    </row>
    <row r="1347" spans="1:9" x14ac:dyDescent="0.2">
      <c r="A1347" s="2">
        <v>11</v>
      </c>
      <c r="B1347" s="1" t="s">
        <v>262</v>
      </c>
      <c r="C1347" s="4">
        <v>2</v>
      </c>
      <c r="D1347" s="8">
        <v>1.56</v>
      </c>
      <c r="E1347" s="4">
        <v>2</v>
      </c>
      <c r="F1347" s="8">
        <v>1.87</v>
      </c>
      <c r="G1347" s="4">
        <v>0</v>
      </c>
      <c r="H1347" s="8">
        <v>0</v>
      </c>
      <c r="I1347" s="4">
        <v>0</v>
      </c>
    </row>
    <row r="1348" spans="1:9" x14ac:dyDescent="0.2">
      <c r="A1348" s="2">
        <v>11</v>
      </c>
      <c r="B1348" s="1" t="s">
        <v>250</v>
      </c>
      <c r="C1348" s="4">
        <v>2</v>
      </c>
      <c r="D1348" s="8">
        <v>1.56</v>
      </c>
      <c r="E1348" s="4">
        <v>2</v>
      </c>
      <c r="F1348" s="8">
        <v>1.87</v>
      </c>
      <c r="G1348" s="4">
        <v>0</v>
      </c>
      <c r="H1348" s="8">
        <v>0</v>
      </c>
      <c r="I1348" s="4">
        <v>0</v>
      </c>
    </row>
    <row r="1349" spans="1:9" x14ac:dyDescent="0.2">
      <c r="A1349" s="2">
        <v>11</v>
      </c>
      <c r="B1349" s="1" t="s">
        <v>205</v>
      </c>
      <c r="C1349" s="4">
        <v>2</v>
      </c>
      <c r="D1349" s="8">
        <v>1.56</v>
      </c>
      <c r="E1349" s="4">
        <v>2</v>
      </c>
      <c r="F1349" s="8">
        <v>1.87</v>
      </c>
      <c r="G1349" s="4">
        <v>0</v>
      </c>
      <c r="H1349" s="8">
        <v>0</v>
      </c>
      <c r="I1349" s="4">
        <v>0</v>
      </c>
    </row>
    <row r="1350" spans="1:9" x14ac:dyDescent="0.2">
      <c r="A1350" s="2">
        <v>11</v>
      </c>
      <c r="B1350" s="1" t="s">
        <v>158</v>
      </c>
      <c r="C1350" s="4">
        <v>2</v>
      </c>
      <c r="D1350" s="8">
        <v>1.56</v>
      </c>
      <c r="E1350" s="4">
        <v>2</v>
      </c>
      <c r="F1350" s="8">
        <v>1.87</v>
      </c>
      <c r="G1350" s="4">
        <v>0</v>
      </c>
      <c r="H1350" s="8">
        <v>0</v>
      </c>
      <c r="I1350" s="4">
        <v>0</v>
      </c>
    </row>
    <row r="1351" spans="1:9" x14ac:dyDescent="0.2">
      <c r="A1351" s="2">
        <v>11</v>
      </c>
      <c r="B1351" s="1" t="s">
        <v>216</v>
      </c>
      <c r="C1351" s="4">
        <v>2</v>
      </c>
      <c r="D1351" s="8">
        <v>1.56</v>
      </c>
      <c r="E1351" s="4">
        <v>2</v>
      </c>
      <c r="F1351" s="8">
        <v>1.87</v>
      </c>
      <c r="G1351" s="4">
        <v>0</v>
      </c>
      <c r="H1351" s="8">
        <v>0</v>
      </c>
      <c r="I1351" s="4">
        <v>0</v>
      </c>
    </row>
    <row r="1352" spans="1:9" x14ac:dyDescent="0.2">
      <c r="A1352" s="2">
        <v>11</v>
      </c>
      <c r="B1352" s="1" t="s">
        <v>217</v>
      </c>
      <c r="C1352" s="4">
        <v>2</v>
      </c>
      <c r="D1352" s="8">
        <v>1.56</v>
      </c>
      <c r="E1352" s="4">
        <v>2</v>
      </c>
      <c r="F1352" s="8">
        <v>1.87</v>
      </c>
      <c r="G1352" s="4">
        <v>0</v>
      </c>
      <c r="H1352" s="8">
        <v>0</v>
      </c>
      <c r="I1352" s="4">
        <v>0</v>
      </c>
    </row>
    <row r="1353" spans="1:9" x14ac:dyDescent="0.2">
      <c r="A1353" s="2">
        <v>11</v>
      </c>
      <c r="B1353" s="1" t="s">
        <v>169</v>
      </c>
      <c r="C1353" s="4">
        <v>2</v>
      </c>
      <c r="D1353" s="8">
        <v>1.56</v>
      </c>
      <c r="E1353" s="4">
        <v>2</v>
      </c>
      <c r="F1353" s="8">
        <v>1.87</v>
      </c>
      <c r="G1353" s="4">
        <v>0</v>
      </c>
      <c r="H1353" s="8">
        <v>0</v>
      </c>
      <c r="I1353" s="4">
        <v>0</v>
      </c>
    </row>
    <row r="1354" spans="1:9" x14ac:dyDescent="0.2">
      <c r="A1354" s="2">
        <v>11</v>
      </c>
      <c r="B1354" s="1" t="s">
        <v>171</v>
      </c>
      <c r="C1354" s="4">
        <v>2</v>
      </c>
      <c r="D1354" s="8">
        <v>1.56</v>
      </c>
      <c r="E1354" s="4">
        <v>2</v>
      </c>
      <c r="F1354" s="8">
        <v>1.87</v>
      </c>
      <c r="G1354" s="4">
        <v>0</v>
      </c>
      <c r="H1354" s="8">
        <v>0</v>
      </c>
      <c r="I1354" s="4">
        <v>0</v>
      </c>
    </row>
    <row r="1355" spans="1:9" x14ac:dyDescent="0.2">
      <c r="A1355" s="2">
        <v>11</v>
      </c>
      <c r="B1355" s="1" t="s">
        <v>249</v>
      </c>
      <c r="C1355" s="4">
        <v>2</v>
      </c>
      <c r="D1355" s="8">
        <v>1.56</v>
      </c>
      <c r="E1355" s="4">
        <v>0</v>
      </c>
      <c r="F1355" s="8">
        <v>0</v>
      </c>
      <c r="G1355" s="4">
        <v>0</v>
      </c>
      <c r="H1355" s="8">
        <v>0</v>
      </c>
      <c r="I1355" s="4">
        <v>0</v>
      </c>
    </row>
    <row r="1356" spans="1:9" x14ac:dyDescent="0.2">
      <c r="A1356" s="2">
        <v>11</v>
      </c>
      <c r="B1356" s="1" t="s">
        <v>173</v>
      </c>
      <c r="C1356" s="4">
        <v>2</v>
      </c>
      <c r="D1356" s="8">
        <v>1.56</v>
      </c>
      <c r="E1356" s="4">
        <v>2</v>
      </c>
      <c r="F1356" s="8">
        <v>1.87</v>
      </c>
      <c r="G1356" s="4">
        <v>0</v>
      </c>
      <c r="H1356" s="8">
        <v>0</v>
      </c>
      <c r="I1356" s="4">
        <v>0</v>
      </c>
    </row>
    <row r="1357" spans="1:9" x14ac:dyDescent="0.2">
      <c r="A1357" s="2">
        <v>11</v>
      </c>
      <c r="B1357" s="1" t="s">
        <v>255</v>
      </c>
      <c r="C1357" s="4">
        <v>2</v>
      </c>
      <c r="D1357" s="8">
        <v>1.56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2">
      <c r="A1358" s="1"/>
      <c r="C1358" s="4"/>
      <c r="D1358" s="8"/>
      <c r="E1358" s="4"/>
      <c r="F1358" s="8"/>
      <c r="G1358" s="4"/>
      <c r="H1358" s="8"/>
      <c r="I1358" s="4"/>
    </row>
    <row r="1359" spans="1:9" x14ac:dyDescent="0.2">
      <c r="A1359" s="1" t="s">
        <v>60</v>
      </c>
      <c r="C1359" s="4"/>
      <c r="D1359" s="8"/>
      <c r="E1359" s="4"/>
      <c r="F1359" s="8"/>
      <c r="G1359" s="4"/>
      <c r="H1359" s="8"/>
      <c r="I1359" s="4"/>
    </row>
    <row r="1360" spans="1:9" x14ac:dyDescent="0.2">
      <c r="A1360" s="2">
        <v>1</v>
      </c>
      <c r="B1360" s="1" t="s">
        <v>242</v>
      </c>
      <c r="C1360" s="4">
        <v>23</v>
      </c>
      <c r="D1360" s="8">
        <v>13.07</v>
      </c>
      <c r="E1360" s="4">
        <v>23</v>
      </c>
      <c r="F1360" s="8">
        <v>16.91</v>
      </c>
      <c r="G1360" s="4">
        <v>0</v>
      </c>
      <c r="H1360" s="8">
        <v>0</v>
      </c>
      <c r="I1360" s="4">
        <v>0</v>
      </c>
    </row>
    <row r="1361" spans="1:9" x14ac:dyDescent="0.2">
      <c r="A1361" s="2">
        <v>2</v>
      </c>
      <c r="B1361" s="1" t="s">
        <v>248</v>
      </c>
      <c r="C1361" s="4">
        <v>16</v>
      </c>
      <c r="D1361" s="8">
        <v>9.09</v>
      </c>
      <c r="E1361" s="4">
        <v>14</v>
      </c>
      <c r="F1361" s="8">
        <v>10.29</v>
      </c>
      <c r="G1361" s="4">
        <v>2</v>
      </c>
      <c r="H1361" s="8">
        <v>5.13</v>
      </c>
      <c r="I1361" s="4">
        <v>0</v>
      </c>
    </row>
    <row r="1362" spans="1:9" x14ac:dyDescent="0.2">
      <c r="A1362" s="2">
        <v>3</v>
      </c>
      <c r="B1362" s="1" t="s">
        <v>168</v>
      </c>
      <c r="C1362" s="4">
        <v>9</v>
      </c>
      <c r="D1362" s="8">
        <v>5.1100000000000003</v>
      </c>
      <c r="E1362" s="4">
        <v>9</v>
      </c>
      <c r="F1362" s="8">
        <v>6.62</v>
      </c>
      <c r="G1362" s="4">
        <v>0</v>
      </c>
      <c r="H1362" s="8">
        <v>0</v>
      </c>
      <c r="I1362" s="4">
        <v>0</v>
      </c>
    </row>
    <row r="1363" spans="1:9" x14ac:dyDescent="0.2">
      <c r="A1363" s="2">
        <v>4</v>
      </c>
      <c r="B1363" s="1" t="s">
        <v>158</v>
      </c>
      <c r="C1363" s="4">
        <v>8</v>
      </c>
      <c r="D1363" s="8">
        <v>4.55</v>
      </c>
      <c r="E1363" s="4">
        <v>6</v>
      </c>
      <c r="F1363" s="8">
        <v>4.41</v>
      </c>
      <c r="G1363" s="4">
        <v>2</v>
      </c>
      <c r="H1363" s="8">
        <v>5.13</v>
      </c>
      <c r="I1363" s="4">
        <v>0</v>
      </c>
    </row>
    <row r="1364" spans="1:9" x14ac:dyDescent="0.2">
      <c r="A1364" s="2">
        <v>5</v>
      </c>
      <c r="B1364" s="1" t="s">
        <v>169</v>
      </c>
      <c r="C1364" s="4">
        <v>7</v>
      </c>
      <c r="D1364" s="8">
        <v>3.98</v>
      </c>
      <c r="E1364" s="4">
        <v>7</v>
      </c>
      <c r="F1364" s="8">
        <v>5.15</v>
      </c>
      <c r="G1364" s="4">
        <v>0</v>
      </c>
      <c r="H1364" s="8">
        <v>0</v>
      </c>
      <c r="I1364" s="4">
        <v>0</v>
      </c>
    </row>
    <row r="1365" spans="1:9" x14ac:dyDescent="0.2">
      <c r="A1365" s="2">
        <v>5</v>
      </c>
      <c r="B1365" s="1" t="s">
        <v>172</v>
      </c>
      <c r="C1365" s="4">
        <v>7</v>
      </c>
      <c r="D1365" s="8">
        <v>3.98</v>
      </c>
      <c r="E1365" s="4">
        <v>7</v>
      </c>
      <c r="F1365" s="8">
        <v>5.15</v>
      </c>
      <c r="G1365" s="4">
        <v>0</v>
      </c>
      <c r="H1365" s="8">
        <v>0</v>
      </c>
      <c r="I1365" s="4">
        <v>0</v>
      </c>
    </row>
    <row r="1366" spans="1:9" x14ac:dyDescent="0.2">
      <c r="A1366" s="2">
        <v>7</v>
      </c>
      <c r="B1366" s="1" t="s">
        <v>243</v>
      </c>
      <c r="C1366" s="4">
        <v>6</v>
      </c>
      <c r="D1366" s="8">
        <v>3.41</v>
      </c>
      <c r="E1366" s="4">
        <v>4</v>
      </c>
      <c r="F1366" s="8">
        <v>2.94</v>
      </c>
      <c r="G1366" s="4">
        <v>2</v>
      </c>
      <c r="H1366" s="8">
        <v>5.13</v>
      </c>
      <c r="I1366" s="4">
        <v>0</v>
      </c>
    </row>
    <row r="1367" spans="1:9" x14ac:dyDescent="0.2">
      <c r="A1367" s="2">
        <v>7</v>
      </c>
      <c r="B1367" s="1" t="s">
        <v>170</v>
      </c>
      <c r="C1367" s="4">
        <v>6</v>
      </c>
      <c r="D1367" s="8">
        <v>3.41</v>
      </c>
      <c r="E1367" s="4">
        <v>6</v>
      </c>
      <c r="F1367" s="8">
        <v>4.41</v>
      </c>
      <c r="G1367" s="4">
        <v>0</v>
      </c>
      <c r="H1367" s="8">
        <v>0</v>
      </c>
      <c r="I1367" s="4">
        <v>0</v>
      </c>
    </row>
    <row r="1368" spans="1:9" x14ac:dyDescent="0.2">
      <c r="A1368" s="2">
        <v>9</v>
      </c>
      <c r="B1368" s="1" t="s">
        <v>192</v>
      </c>
      <c r="C1368" s="4">
        <v>5</v>
      </c>
      <c r="D1368" s="8">
        <v>2.84</v>
      </c>
      <c r="E1368" s="4">
        <v>2</v>
      </c>
      <c r="F1368" s="8">
        <v>1.47</v>
      </c>
      <c r="G1368" s="4">
        <v>3</v>
      </c>
      <c r="H1368" s="8">
        <v>7.69</v>
      </c>
      <c r="I1368" s="4">
        <v>0</v>
      </c>
    </row>
    <row r="1369" spans="1:9" x14ac:dyDescent="0.2">
      <c r="A1369" s="2">
        <v>10</v>
      </c>
      <c r="B1369" s="1" t="s">
        <v>207</v>
      </c>
      <c r="C1369" s="4">
        <v>4</v>
      </c>
      <c r="D1369" s="8">
        <v>2.27</v>
      </c>
      <c r="E1369" s="4">
        <v>2</v>
      </c>
      <c r="F1369" s="8">
        <v>1.47</v>
      </c>
      <c r="G1369" s="4">
        <v>2</v>
      </c>
      <c r="H1369" s="8">
        <v>5.13</v>
      </c>
      <c r="I1369" s="4">
        <v>0</v>
      </c>
    </row>
    <row r="1370" spans="1:9" x14ac:dyDescent="0.2">
      <c r="A1370" s="2">
        <v>10</v>
      </c>
      <c r="B1370" s="1" t="s">
        <v>159</v>
      </c>
      <c r="C1370" s="4">
        <v>4</v>
      </c>
      <c r="D1370" s="8">
        <v>2.27</v>
      </c>
      <c r="E1370" s="4">
        <v>2</v>
      </c>
      <c r="F1370" s="8">
        <v>1.47</v>
      </c>
      <c r="G1370" s="4">
        <v>2</v>
      </c>
      <c r="H1370" s="8">
        <v>5.13</v>
      </c>
      <c r="I1370" s="4">
        <v>0</v>
      </c>
    </row>
    <row r="1371" spans="1:9" x14ac:dyDescent="0.2">
      <c r="A1371" s="2">
        <v>10</v>
      </c>
      <c r="B1371" s="1" t="s">
        <v>162</v>
      </c>
      <c r="C1371" s="4">
        <v>4</v>
      </c>
      <c r="D1371" s="8">
        <v>2.27</v>
      </c>
      <c r="E1371" s="4">
        <v>4</v>
      </c>
      <c r="F1371" s="8">
        <v>2.94</v>
      </c>
      <c r="G1371" s="4">
        <v>0</v>
      </c>
      <c r="H1371" s="8">
        <v>0</v>
      </c>
      <c r="I1371" s="4">
        <v>0</v>
      </c>
    </row>
    <row r="1372" spans="1:9" x14ac:dyDescent="0.2">
      <c r="A1372" s="2">
        <v>10</v>
      </c>
      <c r="B1372" s="1" t="s">
        <v>171</v>
      </c>
      <c r="C1372" s="4">
        <v>4</v>
      </c>
      <c r="D1372" s="8">
        <v>2.27</v>
      </c>
      <c r="E1372" s="4">
        <v>4</v>
      </c>
      <c r="F1372" s="8">
        <v>2.94</v>
      </c>
      <c r="G1372" s="4">
        <v>0</v>
      </c>
      <c r="H1372" s="8">
        <v>0</v>
      </c>
      <c r="I1372" s="4">
        <v>0</v>
      </c>
    </row>
    <row r="1373" spans="1:9" x14ac:dyDescent="0.2">
      <c r="A1373" s="2">
        <v>14</v>
      </c>
      <c r="B1373" s="1" t="s">
        <v>206</v>
      </c>
      <c r="C1373" s="4">
        <v>3</v>
      </c>
      <c r="D1373" s="8">
        <v>1.7</v>
      </c>
      <c r="E1373" s="4">
        <v>0</v>
      </c>
      <c r="F1373" s="8">
        <v>0</v>
      </c>
      <c r="G1373" s="4">
        <v>3</v>
      </c>
      <c r="H1373" s="8">
        <v>7.69</v>
      </c>
      <c r="I1373" s="4">
        <v>0</v>
      </c>
    </row>
    <row r="1374" spans="1:9" x14ac:dyDescent="0.2">
      <c r="A1374" s="2">
        <v>14</v>
      </c>
      <c r="B1374" s="1" t="s">
        <v>227</v>
      </c>
      <c r="C1374" s="4">
        <v>3</v>
      </c>
      <c r="D1374" s="8">
        <v>1.7</v>
      </c>
      <c r="E1374" s="4">
        <v>3</v>
      </c>
      <c r="F1374" s="8">
        <v>2.21</v>
      </c>
      <c r="G1374" s="4">
        <v>0</v>
      </c>
      <c r="H1374" s="8">
        <v>0</v>
      </c>
      <c r="I1374" s="4">
        <v>0</v>
      </c>
    </row>
    <row r="1375" spans="1:9" x14ac:dyDescent="0.2">
      <c r="A1375" s="2">
        <v>14</v>
      </c>
      <c r="B1375" s="1" t="s">
        <v>234</v>
      </c>
      <c r="C1375" s="4">
        <v>3</v>
      </c>
      <c r="D1375" s="8">
        <v>1.7</v>
      </c>
      <c r="E1375" s="4">
        <v>1</v>
      </c>
      <c r="F1375" s="8">
        <v>0.74</v>
      </c>
      <c r="G1375" s="4">
        <v>2</v>
      </c>
      <c r="H1375" s="8">
        <v>5.13</v>
      </c>
      <c r="I1375" s="4">
        <v>0</v>
      </c>
    </row>
    <row r="1376" spans="1:9" x14ac:dyDescent="0.2">
      <c r="A1376" s="2">
        <v>14</v>
      </c>
      <c r="B1376" s="1" t="s">
        <v>241</v>
      </c>
      <c r="C1376" s="4">
        <v>3</v>
      </c>
      <c r="D1376" s="8">
        <v>1.7</v>
      </c>
      <c r="E1376" s="4">
        <v>0</v>
      </c>
      <c r="F1376" s="8">
        <v>0</v>
      </c>
      <c r="G1376" s="4">
        <v>3</v>
      </c>
      <c r="H1376" s="8">
        <v>7.69</v>
      </c>
      <c r="I1376" s="4">
        <v>0</v>
      </c>
    </row>
    <row r="1377" spans="1:9" x14ac:dyDescent="0.2">
      <c r="A1377" s="2">
        <v>18</v>
      </c>
      <c r="B1377" s="1" t="s">
        <v>220</v>
      </c>
      <c r="C1377" s="4">
        <v>2</v>
      </c>
      <c r="D1377" s="8">
        <v>1.1399999999999999</v>
      </c>
      <c r="E1377" s="4">
        <v>0</v>
      </c>
      <c r="F1377" s="8">
        <v>0</v>
      </c>
      <c r="G1377" s="4">
        <v>2</v>
      </c>
      <c r="H1377" s="8">
        <v>5.13</v>
      </c>
      <c r="I1377" s="4">
        <v>0</v>
      </c>
    </row>
    <row r="1378" spans="1:9" x14ac:dyDescent="0.2">
      <c r="A1378" s="2">
        <v>18</v>
      </c>
      <c r="B1378" s="1" t="s">
        <v>223</v>
      </c>
      <c r="C1378" s="4">
        <v>2</v>
      </c>
      <c r="D1378" s="8">
        <v>1.1399999999999999</v>
      </c>
      <c r="E1378" s="4">
        <v>1</v>
      </c>
      <c r="F1378" s="8">
        <v>0.74</v>
      </c>
      <c r="G1378" s="4">
        <v>1</v>
      </c>
      <c r="H1378" s="8">
        <v>2.56</v>
      </c>
      <c r="I1378" s="4">
        <v>0</v>
      </c>
    </row>
    <row r="1379" spans="1:9" x14ac:dyDescent="0.2">
      <c r="A1379" s="2">
        <v>18</v>
      </c>
      <c r="B1379" s="1" t="s">
        <v>200</v>
      </c>
      <c r="C1379" s="4">
        <v>2</v>
      </c>
      <c r="D1379" s="8">
        <v>1.1399999999999999</v>
      </c>
      <c r="E1379" s="4">
        <v>2</v>
      </c>
      <c r="F1379" s="8">
        <v>1.47</v>
      </c>
      <c r="G1379" s="4">
        <v>0</v>
      </c>
      <c r="H1379" s="8">
        <v>0</v>
      </c>
      <c r="I1379" s="4">
        <v>0</v>
      </c>
    </row>
    <row r="1380" spans="1:9" x14ac:dyDescent="0.2">
      <c r="A1380" s="2">
        <v>18</v>
      </c>
      <c r="B1380" s="1" t="s">
        <v>261</v>
      </c>
      <c r="C1380" s="4">
        <v>2</v>
      </c>
      <c r="D1380" s="8">
        <v>1.1399999999999999</v>
      </c>
      <c r="E1380" s="4">
        <v>2</v>
      </c>
      <c r="F1380" s="8">
        <v>1.47</v>
      </c>
      <c r="G1380" s="4">
        <v>0</v>
      </c>
      <c r="H1380" s="8">
        <v>0</v>
      </c>
      <c r="I1380" s="4">
        <v>0</v>
      </c>
    </row>
    <row r="1381" spans="1:9" x14ac:dyDescent="0.2">
      <c r="A1381" s="2">
        <v>18</v>
      </c>
      <c r="B1381" s="1" t="s">
        <v>201</v>
      </c>
      <c r="C1381" s="4">
        <v>2</v>
      </c>
      <c r="D1381" s="8">
        <v>1.1399999999999999</v>
      </c>
      <c r="E1381" s="4">
        <v>2</v>
      </c>
      <c r="F1381" s="8">
        <v>1.47</v>
      </c>
      <c r="G1381" s="4">
        <v>0</v>
      </c>
      <c r="H1381" s="8">
        <v>0</v>
      </c>
      <c r="I1381" s="4">
        <v>0</v>
      </c>
    </row>
    <row r="1382" spans="1:9" x14ac:dyDescent="0.2">
      <c r="A1382" s="2">
        <v>18</v>
      </c>
      <c r="B1382" s="1" t="s">
        <v>264</v>
      </c>
      <c r="C1382" s="4">
        <v>2</v>
      </c>
      <c r="D1382" s="8">
        <v>1.1399999999999999</v>
      </c>
      <c r="E1382" s="4">
        <v>2</v>
      </c>
      <c r="F1382" s="8">
        <v>1.47</v>
      </c>
      <c r="G1382" s="4">
        <v>0</v>
      </c>
      <c r="H1382" s="8">
        <v>0</v>
      </c>
      <c r="I1382" s="4">
        <v>0</v>
      </c>
    </row>
    <row r="1383" spans="1:9" x14ac:dyDescent="0.2">
      <c r="A1383" s="2">
        <v>18</v>
      </c>
      <c r="B1383" s="1" t="s">
        <v>265</v>
      </c>
      <c r="C1383" s="4">
        <v>2</v>
      </c>
      <c r="D1383" s="8">
        <v>1.1399999999999999</v>
      </c>
      <c r="E1383" s="4">
        <v>2</v>
      </c>
      <c r="F1383" s="8">
        <v>1.47</v>
      </c>
      <c r="G1383" s="4">
        <v>0</v>
      </c>
      <c r="H1383" s="8">
        <v>0</v>
      </c>
      <c r="I1383" s="4">
        <v>0</v>
      </c>
    </row>
    <row r="1384" spans="1:9" x14ac:dyDescent="0.2">
      <c r="A1384" s="2">
        <v>18</v>
      </c>
      <c r="B1384" s="1" t="s">
        <v>250</v>
      </c>
      <c r="C1384" s="4">
        <v>2</v>
      </c>
      <c r="D1384" s="8">
        <v>1.1399999999999999</v>
      </c>
      <c r="E1384" s="4">
        <v>1</v>
      </c>
      <c r="F1384" s="8">
        <v>0.74</v>
      </c>
      <c r="G1384" s="4">
        <v>1</v>
      </c>
      <c r="H1384" s="8">
        <v>2.56</v>
      </c>
      <c r="I1384" s="4">
        <v>0</v>
      </c>
    </row>
    <row r="1385" spans="1:9" x14ac:dyDescent="0.2">
      <c r="A1385" s="2">
        <v>18</v>
      </c>
      <c r="B1385" s="1" t="s">
        <v>221</v>
      </c>
      <c r="C1385" s="4">
        <v>2</v>
      </c>
      <c r="D1385" s="8">
        <v>1.1399999999999999</v>
      </c>
      <c r="E1385" s="4">
        <v>2</v>
      </c>
      <c r="F1385" s="8">
        <v>1.47</v>
      </c>
      <c r="G1385" s="4">
        <v>0</v>
      </c>
      <c r="H1385" s="8">
        <v>0</v>
      </c>
      <c r="I1385" s="4">
        <v>0</v>
      </c>
    </row>
    <row r="1386" spans="1:9" x14ac:dyDescent="0.2">
      <c r="A1386" s="2">
        <v>18</v>
      </c>
      <c r="B1386" s="1" t="s">
        <v>216</v>
      </c>
      <c r="C1386" s="4">
        <v>2</v>
      </c>
      <c r="D1386" s="8">
        <v>1.1399999999999999</v>
      </c>
      <c r="E1386" s="4">
        <v>1</v>
      </c>
      <c r="F1386" s="8">
        <v>0.74</v>
      </c>
      <c r="G1386" s="4">
        <v>1</v>
      </c>
      <c r="H1386" s="8">
        <v>2.56</v>
      </c>
      <c r="I1386" s="4">
        <v>0</v>
      </c>
    </row>
    <row r="1387" spans="1:9" x14ac:dyDescent="0.2">
      <c r="A1387" s="2">
        <v>18</v>
      </c>
      <c r="B1387" s="1" t="s">
        <v>245</v>
      </c>
      <c r="C1387" s="4">
        <v>2</v>
      </c>
      <c r="D1387" s="8">
        <v>1.1399999999999999</v>
      </c>
      <c r="E1387" s="4">
        <v>2</v>
      </c>
      <c r="F1387" s="8">
        <v>1.47</v>
      </c>
      <c r="G1387" s="4">
        <v>0</v>
      </c>
      <c r="H1387" s="8">
        <v>0</v>
      </c>
      <c r="I1387" s="4">
        <v>0</v>
      </c>
    </row>
    <row r="1388" spans="1:9" x14ac:dyDescent="0.2">
      <c r="A1388" s="2">
        <v>18</v>
      </c>
      <c r="B1388" s="1" t="s">
        <v>176</v>
      </c>
      <c r="C1388" s="4">
        <v>2</v>
      </c>
      <c r="D1388" s="8">
        <v>1.1399999999999999</v>
      </c>
      <c r="E1388" s="4">
        <v>1</v>
      </c>
      <c r="F1388" s="8">
        <v>0.74</v>
      </c>
      <c r="G1388" s="4">
        <v>1</v>
      </c>
      <c r="H1388" s="8">
        <v>2.56</v>
      </c>
      <c r="I1388" s="4">
        <v>0</v>
      </c>
    </row>
    <row r="1389" spans="1:9" x14ac:dyDescent="0.2">
      <c r="A1389" s="1"/>
      <c r="C1389" s="4"/>
      <c r="D1389" s="8"/>
      <c r="E1389" s="4"/>
      <c r="F1389" s="8"/>
      <c r="G1389" s="4"/>
      <c r="H1389" s="8"/>
      <c r="I1389" s="4"/>
    </row>
    <row r="1390" spans="1:9" x14ac:dyDescent="0.2">
      <c r="A1390" s="1" t="s">
        <v>61</v>
      </c>
      <c r="C1390" s="4"/>
      <c r="D1390" s="8"/>
      <c r="E1390" s="4"/>
      <c r="F1390" s="8"/>
      <c r="G1390" s="4"/>
      <c r="H1390" s="8"/>
      <c r="I1390" s="4"/>
    </row>
    <row r="1391" spans="1:9" x14ac:dyDescent="0.2">
      <c r="A1391" s="2">
        <v>1</v>
      </c>
      <c r="B1391" s="1" t="s">
        <v>266</v>
      </c>
      <c r="C1391" s="4">
        <v>6</v>
      </c>
      <c r="D1391" s="8">
        <v>37.5</v>
      </c>
      <c r="E1391" s="4">
        <v>6</v>
      </c>
      <c r="F1391" s="8">
        <v>46.15</v>
      </c>
      <c r="G1391" s="4">
        <v>0</v>
      </c>
      <c r="H1391" s="8">
        <v>0</v>
      </c>
      <c r="I1391" s="4">
        <v>0</v>
      </c>
    </row>
    <row r="1392" spans="1:9" x14ac:dyDescent="0.2">
      <c r="A1392" s="2">
        <v>2</v>
      </c>
      <c r="B1392" s="1" t="s">
        <v>159</v>
      </c>
      <c r="C1392" s="4">
        <v>2</v>
      </c>
      <c r="D1392" s="8">
        <v>12.5</v>
      </c>
      <c r="E1392" s="4">
        <v>1</v>
      </c>
      <c r="F1392" s="8">
        <v>7.69</v>
      </c>
      <c r="G1392" s="4">
        <v>1</v>
      </c>
      <c r="H1392" s="8">
        <v>33.33</v>
      </c>
      <c r="I1392" s="4">
        <v>0</v>
      </c>
    </row>
    <row r="1393" spans="1:9" x14ac:dyDescent="0.2">
      <c r="A1393" s="2">
        <v>2</v>
      </c>
      <c r="B1393" s="1" t="s">
        <v>242</v>
      </c>
      <c r="C1393" s="4">
        <v>2</v>
      </c>
      <c r="D1393" s="8">
        <v>12.5</v>
      </c>
      <c r="E1393" s="4">
        <v>2</v>
      </c>
      <c r="F1393" s="8">
        <v>15.38</v>
      </c>
      <c r="G1393" s="4">
        <v>0</v>
      </c>
      <c r="H1393" s="8">
        <v>0</v>
      </c>
      <c r="I1393" s="4">
        <v>0</v>
      </c>
    </row>
    <row r="1394" spans="1:9" x14ac:dyDescent="0.2">
      <c r="A1394" s="2">
        <v>4</v>
      </c>
      <c r="B1394" s="1" t="s">
        <v>241</v>
      </c>
      <c r="C1394" s="4">
        <v>1</v>
      </c>
      <c r="D1394" s="8">
        <v>6.25</v>
      </c>
      <c r="E1394" s="4">
        <v>0</v>
      </c>
      <c r="F1394" s="8">
        <v>0</v>
      </c>
      <c r="G1394" s="4">
        <v>1</v>
      </c>
      <c r="H1394" s="8">
        <v>33.33</v>
      </c>
      <c r="I1394" s="4">
        <v>0</v>
      </c>
    </row>
    <row r="1395" spans="1:9" x14ac:dyDescent="0.2">
      <c r="A1395" s="2">
        <v>4</v>
      </c>
      <c r="B1395" s="1" t="s">
        <v>243</v>
      </c>
      <c r="C1395" s="4">
        <v>1</v>
      </c>
      <c r="D1395" s="8">
        <v>6.25</v>
      </c>
      <c r="E1395" s="4">
        <v>1</v>
      </c>
      <c r="F1395" s="8">
        <v>7.69</v>
      </c>
      <c r="G1395" s="4">
        <v>0</v>
      </c>
      <c r="H1395" s="8">
        <v>0</v>
      </c>
      <c r="I1395" s="4">
        <v>0</v>
      </c>
    </row>
    <row r="1396" spans="1:9" x14ac:dyDescent="0.2">
      <c r="A1396" s="2">
        <v>4</v>
      </c>
      <c r="B1396" s="1" t="s">
        <v>169</v>
      </c>
      <c r="C1396" s="4">
        <v>1</v>
      </c>
      <c r="D1396" s="8">
        <v>6.25</v>
      </c>
      <c r="E1396" s="4">
        <v>1</v>
      </c>
      <c r="F1396" s="8">
        <v>7.69</v>
      </c>
      <c r="G1396" s="4">
        <v>0</v>
      </c>
      <c r="H1396" s="8">
        <v>0</v>
      </c>
      <c r="I1396" s="4">
        <v>0</v>
      </c>
    </row>
    <row r="1397" spans="1:9" x14ac:dyDescent="0.2">
      <c r="A1397" s="2">
        <v>4</v>
      </c>
      <c r="B1397" s="1" t="s">
        <v>267</v>
      </c>
      <c r="C1397" s="4">
        <v>1</v>
      </c>
      <c r="D1397" s="8">
        <v>6.25</v>
      </c>
      <c r="E1397" s="4">
        <v>1</v>
      </c>
      <c r="F1397" s="8">
        <v>7.69</v>
      </c>
      <c r="G1397" s="4">
        <v>0</v>
      </c>
      <c r="H1397" s="8">
        <v>0</v>
      </c>
      <c r="I1397" s="4">
        <v>0</v>
      </c>
    </row>
    <row r="1398" spans="1:9" x14ac:dyDescent="0.2">
      <c r="A1398" s="2">
        <v>4</v>
      </c>
      <c r="B1398" s="1" t="s">
        <v>172</v>
      </c>
      <c r="C1398" s="4">
        <v>1</v>
      </c>
      <c r="D1398" s="8">
        <v>6.25</v>
      </c>
      <c r="E1398" s="4">
        <v>1</v>
      </c>
      <c r="F1398" s="8">
        <v>7.69</v>
      </c>
      <c r="G1398" s="4">
        <v>0</v>
      </c>
      <c r="H1398" s="8">
        <v>0</v>
      </c>
      <c r="I1398" s="4">
        <v>0</v>
      </c>
    </row>
    <row r="1399" spans="1:9" x14ac:dyDescent="0.2">
      <c r="A1399" s="2">
        <v>4</v>
      </c>
      <c r="B1399" s="1" t="s">
        <v>248</v>
      </c>
      <c r="C1399" s="4">
        <v>1</v>
      </c>
      <c r="D1399" s="8">
        <v>6.25</v>
      </c>
      <c r="E1399" s="4">
        <v>0</v>
      </c>
      <c r="F1399" s="8">
        <v>0</v>
      </c>
      <c r="G1399" s="4">
        <v>1</v>
      </c>
      <c r="H1399" s="8">
        <v>33.33</v>
      </c>
      <c r="I1399" s="4">
        <v>0</v>
      </c>
    </row>
    <row r="1400" spans="1:9" x14ac:dyDescent="0.2">
      <c r="A1400" s="1"/>
      <c r="C1400" s="4"/>
      <c r="D1400" s="8"/>
      <c r="E1400" s="4"/>
      <c r="F1400" s="8"/>
      <c r="G1400" s="4"/>
      <c r="H1400" s="8"/>
      <c r="I1400" s="4"/>
    </row>
    <row r="1401" spans="1:9" x14ac:dyDescent="0.2">
      <c r="A1401" s="1" t="s">
        <v>62</v>
      </c>
      <c r="C1401" s="4"/>
      <c r="D1401" s="8"/>
      <c r="E1401" s="4"/>
      <c r="F1401" s="8"/>
      <c r="G1401" s="4"/>
      <c r="H1401" s="8"/>
      <c r="I1401" s="4"/>
    </row>
    <row r="1402" spans="1:9" x14ac:dyDescent="0.2">
      <c r="A1402" s="2">
        <v>1</v>
      </c>
      <c r="B1402" s="1" t="s">
        <v>170</v>
      </c>
      <c r="C1402" s="4">
        <v>30</v>
      </c>
      <c r="D1402" s="8">
        <v>8.3800000000000008</v>
      </c>
      <c r="E1402" s="4">
        <v>28</v>
      </c>
      <c r="F1402" s="8">
        <v>11.67</v>
      </c>
      <c r="G1402" s="4">
        <v>2</v>
      </c>
      <c r="H1402" s="8">
        <v>1.79</v>
      </c>
      <c r="I1402" s="4">
        <v>0</v>
      </c>
    </row>
    <row r="1403" spans="1:9" x14ac:dyDescent="0.2">
      <c r="A1403" s="2">
        <v>2</v>
      </c>
      <c r="B1403" s="1" t="s">
        <v>242</v>
      </c>
      <c r="C1403" s="4">
        <v>26</v>
      </c>
      <c r="D1403" s="8">
        <v>7.26</v>
      </c>
      <c r="E1403" s="4">
        <v>21</v>
      </c>
      <c r="F1403" s="8">
        <v>8.75</v>
      </c>
      <c r="G1403" s="4">
        <v>5</v>
      </c>
      <c r="H1403" s="8">
        <v>4.46</v>
      </c>
      <c r="I1403" s="4">
        <v>0</v>
      </c>
    </row>
    <row r="1404" spans="1:9" x14ac:dyDescent="0.2">
      <c r="A1404" s="2">
        <v>3</v>
      </c>
      <c r="B1404" s="1" t="s">
        <v>169</v>
      </c>
      <c r="C1404" s="4">
        <v>24</v>
      </c>
      <c r="D1404" s="8">
        <v>6.7</v>
      </c>
      <c r="E1404" s="4">
        <v>21</v>
      </c>
      <c r="F1404" s="8">
        <v>8.75</v>
      </c>
      <c r="G1404" s="4">
        <v>3</v>
      </c>
      <c r="H1404" s="8">
        <v>2.68</v>
      </c>
      <c r="I1404" s="4">
        <v>0</v>
      </c>
    </row>
    <row r="1405" spans="1:9" x14ac:dyDescent="0.2">
      <c r="A1405" s="2">
        <v>4</v>
      </c>
      <c r="B1405" s="1" t="s">
        <v>168</v>
      </c>
      <c r="C1405" s="4">
        <v>18</v>
      </c>
      <c r="D1405" s="8">
        <v>5.03</v>
      </c>
      <c r="E1405" s="4">
        <v>14</v>
      </c>
      <c r="F1405" s="8">
        <v>5.83</v>
      </c>
      <c r="G1405" s="4">
        <v>4</v>
      </c>
      <c r="H1405" s="8">
        <v>3.57</v>
      </c>
      <c r="I1405" s="4">
        <v>0</v>
      </c>
    </row>
    <row r="1406" spans="1:9" x14ac:dyDescent="0.2">
      <c r="A1406" s="2">
        <v>5</v>
      </c>
      <c r="B1406" s="1" t="s">
        <v>172</v>
      </c>
      <c r="C1406" s="4">
        <v>14</v>
      </c>
      <c r="D1406" s="8">
        <v>3.91</v>
      </c>
      <c r="E1406" s="4">
        <v>14</v>
      </c>
      <c r="F1406" s="8">
        <v>5.83</v>
      </c>
      <c r="G1406" s="4">
        <v>0</v>
      </c>
      <c r="H1406" s="8">
        <v>0</v>
      </c>
      <c r="I1406" s="4">
        <v>0</v>
      </c>
    </row>
    <row r="1407" spans="1:9" x14ac:dyDescent="0.2">
      <c r="A1407" s="2">
        <v>6</v>
      </c>
      <c r="B1407" s="1" t="s">
        <v>191</v>
      </c>
      <c r="C1407" s="4">
        <v>11</v>
      </c>
      <c r="D1407" s="8">
        <v>3.07</v>
      </c>
      <c r="E1407" s="4">
        <v>11</v>
      </c>
      <c r="F1407" s="8">
        <v>4.58</v>
      </c>
      <c r="G1407" s="4">
        <v>0</v>
      </c>
      <c r="H1407" s="8">
        <v>0</v>
      </c>
      <c r="I1407" s="4">
        <v>0</v>
      </c>
    </row>
    <row r="1408" spans="1:9" x14ac:dyDescent="0.2">
      <c r="A1408" s="2">
        <v>7</v>
      </c>
      <c r="B1408" s="1" t="s">
        <v>257</v>
      </c>
      <c r="C1408" s="4">
        <v>9</v>
      </c>
      <c r="D1408" s="8">
        <v>2.5099999999999998</v>
      </c>
      <c r="E1408" s="4">
        <v>6</v>
      </c>
      <c r="F1408" s="8">
        <v>2.5</v>
      </c>
      <c r="G1408" s="4">
        <v>3</v>
      </c>
      <c r="H1408" s="8">
        <v>2.68</v>
      </c>
      <c r="I1408" s="4">
        <v>0</v>
      </c>
    </row>
    <row r="1409" spans="1:9" x14ac:dyDescent="0.2">
      <c r="A1409" s="2">
        <v>7</v>
      </c>
      <c r="B1409" s="1" t="s">
        <v>171</v>
      </c>
      <c r="C1409" s="4">
        <v>9</v>
      </c>
      <c r="D1409" s="8">
        <v>2.5099999999999998</v>
      </c>
      <c r="E1409" s="4">
        <v>9</v>
      </c>
      <c r="F1409" s="8">
        <v>3.75</v>
      </c>
      <c r="G1409" s="4">
        <v>0</v>
      </c>
      <c r="H1409" s="8">
        <v>0</v>
      </c>
      <c r="I1409" s="4">
        <v>0</v>
      </c>
    </row>
    <row r="1410" spans="1:9" x14ac:dyDescent="0.2">
      <c r="A1410" s="2">
        <v>9</v>
      </c>
      <c r="B1410" s="1" t="s">
        <v>216</v>
      </c>
      <c r="C1410" s="4">
        <v>8</v>
      </c>
      <c r="D1410" s="8">
        <v>2.23</v>
      </c>
      <c r="E1410" s="4">
        <v>6</v>
      </c>
      <c r="F1410" s="8">
        <v>2.5</v>
      </c>
      <c r="G1410" s="4">
        <v>2</v>
      </c>
      <c r="H1410" s="8">
        <v>1.79</v>
      </c>
      <c r="I1410" s="4">
        <v>0</v>
      </c>
    </row>
    <row r="1411" spans="1:9" x14ac:dyDescent="0.2">
      <c r="A1411" s="2">
        <v>9</v>
      </c>
      <c r="B1411" s="1" t="s">
        <v>248</v>
      </c>
      <c r="C1411" s="4">
        <v>8</v>
      </c>
      <c r="D1411" s="8">
        <v>2.23</v>
      </c>
      <c r="E1411" s="4">
        <v>5</v>
      </c>
      <c r="F1411" s="8">
        <v>2.08</v>
      </c>
      <c r="G1411" s="4">
        <v>3</v>
      </c>
      <c r="H1411" s="8">
        <v>2.68</v>
      </c>
      <c r="I1411" s="4">
        <v>0</v>
      </c>
    </row>
    <row r="1412" spans="1:9" x14ac:dyDescent="0.2">
      <c r="A1412" s="2">
        <v>11</v>
      </c>
      <c r="B1412" s="1" t="s">
        <v>207</v>
      </c>
      <c r="C1412" s="4">
        <v>7</v>
      </c>
      <c r="D1412" s="8">
        <v>1.96</v>
      </c>
      <c r="E1412" s="4">
        <v>5</v>
      </c>
      <c r="F1412" s="8">
        <v>2.08</v>
      </c>
      <c r="G1412" s="4">
        <v>2</v>
      </c>
      <c r="H1412" s="8">
        <v>1.79</v>
      </c>
      <c r="I1412" s="4">
        <v>0</v>
      </c>
    </row>
    <row r="1413" spans="1:9" x14ac:dyDescent="0.2">
      <c r="A1413" s="2">
        <v>11</v>
      </c>
      <c r="B1413" s="1" t="s">
        <v>173</v>
      </c>
      <c r="C1413" s="4">
        <v>7</v>
      </c>
      <c r="D1413" s="8">
        <v>1.96</v>
      </c>
      <c r="E1413" s="4">
        <v>7</v>
      </c>
      <c r="F1413" s="8">
        <v>2.92</v>
      </c>
      <c r="G1413" s="4">
        <v>0</v>
      </c>
      <c r="H1413" s="8">
        <v>0</v>
      </c>
      <c r="I1413" s="4">
        <v>0</v>
      </c>
    </row>
    <row r="1414" spans="1:9" x14ac:dyDescent="0.2">
      <c r="A1414" s="2">
        <v>11</v>
      </c>
      <c r="B1414" s="1" t="s">
        <v>175</v>
      </c>
      <c r="C1414" s="4">
        <v>7</v>
      </c>
      <c r="D1414" s="8">
        <v>1.96</v>
      </c>
      <c r="E1414" s="4">
        <v>6</v>
      </c>
      <c r="F1414" s="8">
        <v>2.5</v>
      </c>
      <c r="G1414" s="4">
        <v>1</v>
      </c>
      <c r="H1414" s="8">
        <v>0.89</v>
      </c>
      <c r="I1414" s="4">
        <v>0</v>
      </c>
    </row>
    <row r="1415" spans="1:9" x14ac:dyDescent="0.2">
      <c r="A1415" s="2">
        <v>14</v>
      </c>
      <c r="B1415" s="1" t="s">
        <v>221</v>
      </c>
      <c r="C1415" s="4">
        <v>6</v>
      </c>
      <c r="D1415" s="8">
        <v>1.68</v>
      </c>
      <c r="E1415" s="4">
        <v>3</v>
      </c>
      <c r="F1415" s="8">
        <v>1.25</v>
      </c>
      <c r="G1415" s="4">
        <v>3</v>
      </c>
      <c r="H1415" s="8">
        <v>2.68</v>
      </c>
      <c r="I1415" s="4">
        <v>0</v>
      </c>
    </row>
    <row r="1416" spans="1:9" x14ac:dyDescent="0.2">
      <c r="A1416" s="2">
        <v>14</v>
      </c>
      <c r="B1416" s="1" t="s">
        <v>162</v>
      </c>
      <c r="C1416" s="4">
        <v>6</v>
      </c>
      <c r="D1416" s="8">
        <v>1.68</v>
      </c>
      <c r="E1416" s="4">
        <v>6</v>
      </c>
      <c r="F1416" s="8">
        <v>2.5</v>
      </c>
      <c r="G1416" s="4">
        <v>0</v>
      </c>
      <c r="H1416" s="8">
        <v>0</v>
      </c>
      <c r="I1416" s="4">
        <v>0</v>
      </c>
    </row>
    <row r="1417" spans="1:9" x14ac:dyDescent="0.2">
      <c r="A1417" s="2">
        <v>14</v>
      </c>
      <c r="B1417" s="1" t="s">
        <v>268</v>
      </c>
      <c r="C1417" s="4">
        <v>6</v>
      </c>
      <c r="D1417" s="8">
        <v>1.68</v>
      </c>
      <c r="E1417" s="4">
        <v>4</v>
      </c>
      <c r="F1417" s="8">
        <v>1.67</v>
      </c>
      <c r="G1417" s="4">
        <v>2</v>
      </c>
      <c r="H1417" s="8">
        <v>1.79</v>
      </c>
      <c r="I1417" s="4">
        <v>0</v>
      </c>
    </row>
    <row r="1418" spans="1:9" x14ac:dyDescent="0.2">
      <c r="A1418" s="2">
        <v>14</v>
      </c>
      <c r="B1418" s="1" t="s">
        <v>243</v>
      </c>
      <c r="C1418" s="4">
        <v>6</v>
      </c>
      <c r="D1418" s="8">
        <v>1.68</v>
      </c>
      <c r="E1418" s="4">
        <v>5</v>
      </c>
      <c r="F1418" s="8">
        <v>2.08</v>
      </c>
      <c r="G1418" s="4">
        <v>1</v>
      </c>
      <c r="H1418" s="8">
        <v>0.89</v>
      </c>
      <c r="I1418" s="4">
        <v>0</v>
      </c>
    </row>
    <row r="1419" spans="1:9" x14ac:dyDescent="0.2">
      <c r="A1419" s="2">
        <v>18</v>
      </c>
      <c r="B1419" s="1" t="s">
        <v>223</v>
      </c>
      <c r="C1419" s="4">
        <v>5</v>
      </c>
      <c r="D1419" s="8">
        <v>1.4</v>
      </c>
      <c r="E1419" s="4">
        <v>2</v>
      </c>
      <c r="F1419" s="8">
        <v>0.83</v>
      </c>
      <c r="G1419" s="4">
        <v>3</v>
      </c>
      <c r="H1419" s="8">
        <v>2.68</v>
      </c>
      <c r="I1419" s="4">
        <v>0</v>
      </c>
    </row>
    <row r="1420" spans="1:9" x14ac:dyDescent="0.2">
      <c r="A1420" s="2">
        <v>18</v>
      </c>
      <c r="B1420" s="1" t="s">
        <v>192</v>
      </c>
      <c r="C1420" s="4">
        <v>5</v>
      </c>
      <c r="D1420" s="8">
        <v>1.4</v>
      </c>
      <c r="E1420" s="4">
        <v>1</v>
      </c>
      <c r="F1420" s="8">
        <v>0.42</v>
      </c>
      <c r="G1420" s="4">
        <v>4</v>
      </c>
      <c r="H1420" s="8">
        <v>3.57</v>
      </c>
      <c r="I1420" s="4">
        <v>0</v>
      </c>
    </row>
    <row r="1421" spans="1:9" x14ac:dyDescent="0.2">
      <c r="A1421" s="2">
        <v>18</v>
      </c>
      <c r="B1421" s="1" t="s">
        <v>205</v>
      </c>
      <c r="C1421" s="4">
        <v>5</v>
      </c>
      <c r="D1421" s="8">
        <v>1.4</v>
      </c>
      <c r="E1421" s="4">
        <v>3</v>
      </c>
      <c r="F1421" s="8">
        <v>1.25</v>
      </c>
      <c r="G1421" s="4">
        <v>1</v>
      </c>
      <c r="H1421" s="8">
        <v>0.89</v>
      </c>
      <c r="I1421" s="4">
        <v>1</v>
      </c>
    </row>
    <row r="1422" spans="1:9" x14ac:dyDescent="0.2">
      <c r="A1422" s="2">
        <v>18</v>
      </c>
      <c r="B1422" s="1" t="s">
        <v>159</v>
      </c>
      <c r="C1422" s="4">
        <v>5</v>
      </c>
      <c r="D1422" s="8">
        <v>1.4</v>
      </c>
      <c r="E1422" s="4">
        <v>4</v>
      </c>
      <c r="F1422" s="8">
        <v>1.67</v>
      </c>
      <c r="G1422" s="4">
        <v>1</v>
      </c>
      <c r="H1422" s="8">
        <v>0.89</v>
      </c>
      <c r="I1422" s="4">
        <v>0</v>
      </c>
    </row>
    <row r="1423" spans="1:9" x14ac:dyDescent="0.2">
      <c r="A1423" s="2">
        <v>18</v>
      </c>
      <c r="B1423" s="1" t="s">
        <v>176</v>
      </c>
      <c r="C1423" s="4">
        <v>5</v>
      </c>
      <c r="D1423" s="8">
        <v>1.4</v>
      </c>
      <c r="E1423" s="4">
        <v>0</v>
      </c>
      <c r="F1423" s="8">
        <v>0</v>
      </c>
      <c r="G1423" s="4">
        <v>4</v>
      </c>
      <c r="H1423" s="8">
        <v>3.57</v>
      </c>
      <c r="I1423" s="4">
        <v>1</v>
      </c>
    </row>
    <row r="1424" spans="1:9" x14ac:dyDescent="0.2">
      <c r="A1424" s="1"/>
      <c r="C1424" s="4"/>
      <c r="D1424" s="8"/>
      <c r="E1424" s="4"/>
      <c r="F1424" s="8"/>
      <c r="G1424" s="4"/>
      <c r="H1424" s="8"/>
      <c r="I1424" s="4"/>
    </row>
    <row r="1425" spans="1:9" x14ac:dyDescent="0.2">
      <c r="A1425" s="1" t="s">
        <v>63</v>
      </c>
      <c r="C1425" s="4"/>
      <c r="D1425" s="8"/>
      <c r="E1425" s="4"/>
      <c r="F1425" s="8"/>
      <c r="G1425" s="4"/>
      <c r="H1425" s="8"/>
      <c r="I1425" s="4"/>
    </row>
    <row r="1426" spans="1:9" x14ac:dyDescent="0.2">
      <c r="A1426" s="2">
        <v>1</v>
      </c>
      <c r="B1426" s="1" t="s">
        <v>242</v>
      </c>
      <c r="C1426" s="4">
        <v>3</v>
      </c>
      <c r="D1426" s="8">
        <v>25</v>
      </c>
      <c r="E1426" s="4">
        <v>2</v>
      </c>
      <c r="F1426" s="8">
        <v>33.33</v>
      </c>
      <c r="G1426" s="4">
        <v>1</v>
      </c>
      <c r="H1426" s="8">
        <v>20</v>
      </c>
      <c r="I1426" s="4">
        <v>0</v>
      </c>
    </row>
    <row r="1427" spans="1:9" x14ac:dyDescent="0.2">
      <c r="A1427" s="2">
        <v>2</v>
      </c>
      <c r="B1427" s="1" t="s">
        <v>169</v>
      </c>
      <c r="C1427" s="4">
        <v>2</v>
      </c>
      <c r="D1427" s="8">
        <v>16.670000000000002</v>
      </c>
      <c r="E1427" s="4">
        <v>2</v>
      </c>
      <c r="F1427" s="8">
        <v>33.33</v>
      </c>
      <c r="G1427" s="4">
        <v>0</v>
      </c>
      <c r="H1427" s="8">
        <v>0</v>
      </c>
      <c r="I1427" s="4">
        <v>0</v>
      </c>
    </row>
    <row r="1428" spans="1:9" x14ac:dyDescent="0.2">
      <c r="A1428" s="2">
        <v>3</v>
      </c>
      <c r="B1428" s="1" t="s">
        <v>269</v>
      </c>
      <c r="C1428" s="4">
        <v>1</v>
      </c>
      <c r="D1428" s="8">
        <v>8.33</v>
      </c>
      <c r="E1428" s="4">
        <v>0</v>
      </c>
      <c r="F1428" s="8">
        <v>0</v>
      </c>
      <c r="G1428" s="4">
        <v>1</v>
      </c>
      <c r="H1428" s="8">
        <v>20</v>
      </c>
      <c r="I1428" s="4">
        <v>0</v>
      </c>
    </row>
    <row r="1429" spans="1:9" x14ac:dyDescent="0.2">
      <c r="A1429" s="2">
        <v>3</v>
      </c>
      <c r="B1429" s="1" t="s">
        <v>270</v>
      </c>
      <c r="C1429" s="4">
        <v>1</v>
      </c>
      <c r="D1429" s="8">
        <v>8.33</v>
      </c>
      <c r="E1429" s="4">
        <v>0</v>
      </c>
      <c r="F1429" s="8">
        <v>0</v>
      </c>
      <c r="G1429" s="4">
        <v>1</v>
      </c>
      <c r="H1429" s="8">
        <v>20</v>
      </c>
      <c r="I1429" s="4">
        <v>0</v>
      </c>
    </row>
    <row r="1430" spans="1:9" x14ac:dyDescent="0.2">
      <c r="A1430" s="2">
        <v>3</v>
      </c>
      <c r="B1430" s="1" t="s">
        <v>271</v>
      </c>
      <c r="C1430" s="4">
        <v>1</v>
      </c>
      <c r="D1430" s="8">
        <v>8.33</v>
      </c>
      <c r="E1430" s="4">
        <v>0</v>
      </c>
      <c r="F1430" s="8">
        <v>0</v>
      </c>
      <c r="G1430" s="4">
        <v>1</v>
      </c>
      <c r="H1430" s="8">
        <v>20</v>
      </c>
      <c r="I1430" s="4">
        <v>0</v>
      </c>
    </row>
    <row r="1431" spans="1:9" x14ac:dyDescent="0.2">
      <c r="A1431" s="2">
        <v>3</v>
      </c>
      <c r="B1431" s="1" t="s">
        <v>240</v>
      </c>
      <c r="C1431" s="4">
        <v>1</v>
      </c>
      <c r="D1431" s="8">
        <v>8.33</v>
      </c>
      <c r="E1431" s="4">
        <v>1</v>
      </c>
      <c r="F1431" s="8">
        <v>16.670000000000002</v>
      </c>
      <c r="G1431" s="4">
        <v>0</v>
      </c>
      <c r="H1431" s="8">
        <v>0</v>
      </c>
      <c r="I1431" s="4">
        <v>0</v>
      </c>
    </row>
    <row r="1432" spans="1:9" x14ac:dyDescent="0.2">
      <c r="A1432" s="2">
        <v>3</v>
      </c>
      <c r="B1432" s="1" t="s">
        <v>243</v>
      </c>
      <c r="C1432" s="4">
        <v>1</v>
      </c>
      <c r="D1432" s="8">
        <v>8.33</v>
      </c>
      <c r="E1432" s="4">
        <v>1</v>
      </c>
      <c r="F1432" s="8">
        <v>16.670000000000002</v>
      </c>
      <c r="G1432" s="4">
        <v>0</v>
      </c>
      <c r="H1432" s="8">
        <v>0</v>
      </c>
      <c r="I1432" s="4">
        <v>0</v>
      </c>
    </row>
    <row r="1433" spans="1:9" x14ac:dyDescent="0.2">
      <c r="A1433" s="2">
        <v>3</v>
      </c>
      <c r="B1433" s="1" t="s">
        <v>222</v>
      </c>
      <c r="C1433" s="4">
        <v>1</v>
      </c>
      <c r="D1433" s="8">
        <v>8.33</v>
      </c>
      <c r="E1433" s="4">
        <v>0</v>
      </c>
      <c r="F1433" s="8">
        <v>0</v>
      </c>
      <c r="G1433" s="4">
        <v>0</v>
      </c>
      <c r="H1433" s="8">
        <v>0</v>
      </c>
      <c r="I1433" s="4">
        <v>0</v>
      </c>
    </row>
    <row r="1434" spans="1:9" x14ac:dyDescent="0.2">
      <c r="A1434" s="2">
        <v>3</v>
      </c>
      <c r="B1434" s="1" t="s">
        <v>224</v>
      </c>
      <c r="C1434" s="4">
        <v>1</v>
      </c>
      <c r="D1434" s="8">
        <v>8.33</v>
      </c>
      <c r="E1434" s="4">
        <v>0</v>
      </c>
      <c r="F1434" s="8">
        <v>0</v>
      </c>
      <c r="G1434" s="4">
        <v>1</v>
      </c>
      <c r="H1434" s="8">
        <v>20</v>
      </c>
      <c r="I1434" s="4">
        <v>0</v>
      </c>
    </row>
    <row r="1435" spans="1:9" x14ac:dyDescent="0.2">
      <c r="A1435" s="1"/>
      <c r="C1435" s="4"/>
      <c r="D1435" s="8"/>
      <c r="E1435" s="4"/>
      <c r="F1435" s="8"/>
      <c r="G1435" s="4"/>
      <c r="H1435" s="8"/>
      <c r="I1435" s="4"/>
    </row>
    <row r="1436" spans="1:9" x14ac:dyDescent="0.2">
      <c r="A1436" s="1" t="s">
        <v>64</v>
      </c>
      <c r="C1436" s="4"/>
      <c r="D1436" s="8"/>
      <c r="E1436" s="4"/>
      <c r="F1436" s="8"/>
      <c r="G1436" s="4"/>
      <c r="H1436" s="8"/>
      <c r="I1436" s="4"/>
    </row>
    <row r="1437" spans="1:9" x14ac:dyDescent="0.2">
      <c r="A1437" s="2">
        <v>1</v>
      </c>
      <c r="B1437" s="1" t="s">
        <v>242</v>
      </c>
      <c r="C1437" s="4">
        <v>30</v>
      </c>
      <c r="D1437" s="8">
        <v>15.71</v>
      </c>
      <c r="E1437" s="4">
        <v>25</v>
      </c>
      <c r="F1437" s="8">
        <v>20.16</v>
      </c>
      <c r="G1437" s="4">
        <v>5</v>
      </c>
      <c r="H1437" s="8">
        <v>7.69</v>
      </c>
      <c r="I1437" s="4">
        <v>0</v>
      </c>
    </row>
    <row r="1438" spans="1:9" x14ac:dyDescent="0.2">
      <c r="A1438" s="2">
        <v>2</v>
      </c>
      <c r="B1438" s="1" t="s">
        <v>162</v>
      </c>
      <c r="C1438" s="4">
        <v>19</v>
      </c>
      <c r="D1438" s="8">
        <v>9.9499999999999993</v>
      </c>
      <c r="E1438" s="4">
        <v>18</v>
      </c>
      <c r="F1438" s="8">
        <v>14.52</v>
      </c>
      <c r="G1438" s="4">
        <v>1</v>
      </c>
      <c r="H1438" s="8">
        <v>1.54</v>
      </c>
      <c r="I1438" s="4">
        <v>0</v>
      </c>
    </row>
    <row r="1439" spans="1:9" x14ac:dyDescent="0.2">
      <c r="A1439" s="2">
        <v>2</v>
      </c>
      <c r="B1439" s="1" t="s">
        <v>243</v>
      </c>
      <c r="C1439" s="4">
        <v>19</v>
      </c>
      <c r="D1439" s="8">
        <v>9.9499999999999993</v>
      </c>
      <c r="E1439" s="4">
        <v>15</v>
      </c>
      <c r="F1439" s="8">
        <v>12.1</v>
      </c>
      <c r="G1439" s="4">
        <v>4</v>
      </c>
      <c r="H1439" s="8">
        <v>6.15</v>
      </c>
      <c r="I1439" s="4">
        <v>0</v>
      </c>
    </row>
    <row r="1440" spans="1:9" x14ac:dyDescent="0.2">
      <c r="A1440" s="2">
        <v>4</v>
      </c>
      <c r="B1440" s="1" t="s">
        <v>159</v>
      </c>
      <c r="C1440" s="4">
        <v>9</v>
      </c>
      <c r="D1440" s="8">
        <v>4.71</v>
      </c>
      <c r="E1440" s="4">
        <v>6</v>
      </c>
      <c r="F1440" s="8">
        <v>4.84</v>
      </c>
      <c r="G1440" s="4">
        <v>3</v>
      </c>
      <c r="H1440" s="8">
        <v>4.62</v>
      </c>
      <c r="I1440" s="4">
        <v>0</v>
      </c>
    </row>
    <row r="1441" spans="1:9" x14ac:dyDescent="0.2">
      <c r="A1441" s="2">
        <v>5</v>
      </c>
      <c r="B1441" s="1" t="s">
        <v>169</v>
      </c>
      <c r="C1441" s="4">
        <v>7</v>
      </c>
      <c r="D1441" s="8">
        <v>3.66</v>
      </c>
      <c r="E1441" s="4">
        <v>7</v>
      </c>
      <c r="F1441" s="8">
        <v>5.65</v>
      </c>
      <c r="G1441" s="4">
        <v>0</v>
      </c>
      <c r="H1441" s="8">
        <v>0</v>
      </c>
      <c r="I1441" s="4">
        <v>0</v>
      </c>
    </row>
    <row r="1442" spans="1:9" x14ac:dyDescent="0.2">
      <c r="A1442" s="2">
        <v>6</v>
      </c>
      <c r="B1442" s="1" t="s">
        <v>248</v>
      </c>
      <c r="C1442" s="4">
        <v>6</v>
      </c>
      <c r="D1442" s="8">
        <v>3.14</v>
      </c>
      <c r="E1442" s="4">
        <v>3</v>
      </c>
      <c r="F1442" s="8">
        <v>2.42</v>
      </c>
      <c r="G1442" s="4">
        <v>3</v>
      </c>
      <c r="H1442" s="8">
        <v>4.62</v>
      </c>
      <c r="I1442" s="4">
        <v>0</v>
      </c>
    </row>
    <row r="1443" spans="1:9" x14ac:dyDescent="0.2">
      <c r="A1443" s="2">
        <v>7</v>
      </c>
      <c r="B1443" s="1" t="s">
        <v>216</v>
      </c>
      <c r="C1443" s="4">
        <v>5</v>
      </c>
      <c r="D1443" s="8">
        <v>2.62</v>
      </c>
      <c r="E1443" s="4">
        <v>3</v>
      </c>
      <c r="F1443" s="8">
        <v>2.42</v>
      </c>
      <c r="G1443" s="4">
        <v>2</v>
      </c>
      <c r="H1443" s="8">
        <v>3.08</v>
      </c>
      <c r="I1443" s="4">
        <v>0</v>
      </c>
    </row>
    <row r="1444" spans="1:9" x14ac:dyDescent="0.2">
      <c r="A1444" s="2">
        <v>7</v>
      </c>
      <c r="B1444" s="1" t="s">
        <v>219</v>
      </c>
      <c r="C1444" s="4">
        <v>5</v>
      </c>
      <c r="D1444" s="8">
        <v>2.62</v>
      </c>
      <c r="E1444" s="4">
        <v>4</v>
      </c>
      <c r="F1444" s="8">
        <v>3.23</v>
      </c>
      <c r="G1444" s="4">
        <v>1</v>
      </c>
      <c r="H1444" s="8">
        <v>1.54</v>
      </c>
      <c r="I1444" s="4">
        <v>0</v>
      </c>
    </row>
    <row r="1445" spans="1:9" x14ac:dyDescent="0.2">
      <c r="A1445" s="2">
        <v>9</v>
      </c>
      <c r="B1445" s="1" t="s">
        <v>167</v>
      </c>
      <c r="C1445" s="4">
        <v>4</v>
      </c>
      <c r="D1445" s="8">
        <v>2.09</v>
      </c>
      <c r="E1445" s="4">
        <v>1</v>
      </c>
      <c r="F1445" s="8">
        <v>0.81</v>
      </c>
      <c r="G1445" s="4">
        <v>3</v>
      </c>
      <c r="H1445" s="8">
        <v>4.62</v>
      </c>
      <c r="I1445" s="4">
        <v>0</v>
      </c>
    </row>
    <row r="1446" spans="1:9" x14ac:dyDescent="0.2">
      <c r="A1446" s="2">
        <v>9</v>
      </c>
      <c r="B1446" s="1" t="s">
        <v>191</v>
      </c>
      <c r="C1446" s="4">
        <v>4</v>
      </c>
      <c r="D1446" s="8">
        <v>2.09</v>
      </c>
      <c r="E1446" s="4">
        <v>3</v>
      </c>
      <c r="F1446" s="8">
        <v>2.42</v>
      </c>
      <c r="G1446" s="4">
        <v>1</v>
      </c>
      <c r="H1446" s="8">
        <v>1.54</v>
      </c>
      <c r="I1446" s="4">
        <v>0</v>
      </c>
    </row>
    <row r="1447" spans="1:9" x14ac:dyDescent="0.2">
      <c r="A1447" s="2">
        <v>11</v>
      </c>
      <c r="B1447" s="1" t="s">
        <v>220</v>
      </c>
      <c r="C1447" s="4">
        <v>3</v>
      </c>
      <c r="D1447" s="8">
        <v>1.57</v>
      </c>
      <c r="E1447" s="4">
        <v>0</v>
      </c>
      <c r="F1447" s="8">
        <v>0</v>
      </c>
      <c r="G1447" s="4">
        <v>3</v>
      </c>
      <c r="H1447" s="8">
        <v>4.62</v>
      </c>
      <c r="I1447" s="4">
        <v>0</v>
      </c>
    </row>
    <row r="1448" spans="1:9" x14ac:dyDescent="0.2">
      <c r="A1448" s="2">
        <v>11</v>
      </c>
      <c r="B1448" s="1" t="s">
        <v>192</v>
      </c>
      <c r="C1448" s="4">
        <v>3</v>
      </c>
      <c r="D1448" s="8">
        <v>1.57</v>
      </c>
      <c r="E1448" s="4">
        <v>1</v>
      </c>
      <c r="F1448" s="8">
        <v>0.81</v>
      </c>
      <c r="G1448" s="4">
        <v>2</v>
      </c>
      <c r="H1448" s="8">
        <v>3.08</v>
      </c>
      <c r="I1448" s="4">
        <v>0</v>
      </c>
    </row>
    <row r="1449" spans="1:9" x14ac:dyDescent="0.2">
      <c r="A1449" s="2">
        <v>11</v>
      </c>
      <c r="B1449" s="1" t="s">
        <v>263</v>
      </c>
      <c r="C1449" s="4">
        <v>3</v>
      </c>
      <c r="D1449" s="8">
        <v>1.57</v>
      </c>
      <c r="E1449" s="4">
        <v>1</v>
      </c>
      <c r="F1449" s="8">
        <v>0.81</v>
      </c>
      <c r="G1449" s="4">
        <v>2</v>
      </c>
      <c r="H1449" s="8">
        <v>3.08</v>
      </c>
      <c r="I1449" s="4">
        <v>0</v>
      </c>
    </row>
    <row r="1450" spans="1:9" x14ac:dyDescent="0.2">
      <c r="A1450" s="2">
        <v>11</v>
      </c>
      <c r="B1450" s="1" t="s">
        <v>274</v>
      </c>
      <c r="C1450" s="4">
        <v>3</v>
      </c>
      <c r="D1450" s="8">
        <v>1.57</v>
      </c>
      <c r="E1450" s="4">
        <v>0</v>
      </c>
      <c r="F1450" s="8">
        <v>0</v>
      </c>
      <c r="G1450" s="4">
        <v>3</v>
      </c>
      <c r="H1450" s="8">
        <v>4.62</v>
      </c>
      <c r="I1450" s="4">
        <v>0</v>
      </c>
    </row>
    <row r="1451" spans="1:9" x14ac:dyDescent="0.2">
      <c r="A1451" s="2">
        <v>11</v>
      </c>
      <c r="B1451" s="1" t="s">
        <v>168</v>
      </c>
      <c r="C1451" s="4">
        <v>3</v>
      </c>
      <c r="D1451" s="8">
        <v>1.57</v>
      </c>
      <c r="E1451" s="4">
        <v>2</v>
      </c>
      <c r="F1451" s="8">
        <v>1.61</v>
      </c>
      <c r="G1451" s="4">
        <v>1</v>
      </c>
      <c r="H1451" s="8">
        <v>1.54</v>
      </c>
      <c r="I1451" s="4">
        <v>0</v>
      </c>
    </row>
    <row r="1452" spans="1:9" x14ac:dyDescent="0.2">
      <c r="A1452" s="2">
        <v>11</v>
      </c>
      <c r="B1452" s="1" t="s">
        <v>217</v>
      </c>
      <c r="C1452" s="4">
        <v>3</v>
      </c>
      <c r="D1452" s="8">
        <v>1.57</v>
      </c>
      <c r="E1452" s="4">
        <v>2</v>
      </c>
      <c r="F1452" s="8">
        <v>1.61</v>
      </c>
      <c r="G1452" s="4">
        <v>1</v>
      </c>
      <c r="H1452" s="8">
        <v>1.54</v>
      </c>
      <c r="I1452" s="4">
        <v>0</v>
      </c>
    </row>
    <row r="1453" spans="1:9" x14ac:dyDescent="0.2">
      <c r="A1453" s="2">
        <v>11</v>
      </c>
      <c r="B1453" s="1" t="s">
        <v>170</v>
      </c>
      <c r="C1453" s="4">
        <v>3</v>
      </c>
      <c r="D1453" s="8">
        <v>1.57</v>
      </c>
      <c r="E1453" s="4">
        <v>3</v>
      </c>
      <c r="F1453" s="8">
        <v>2.42</v>
      </c>
      <c r="G1453" s="4">
        <v>0</v>
      </c>
      <c r="H1453" s="8">
        <v>0</v>
      </c>
      <c r="I1453" s="4">
        <v>0</v>
      </c>
    </row>
    <row r="1454" spans="1:9" x14ac:dyDescent="0.2">
      <c r="A1454" s="2">
        <v>11</v>
      </c>
      <c r="B1454" s="1" t="s">
        <v>267</v>
      </c>
      <c r="C1454" s="4">
        <v>3</v>
      </c>
      <c r="D1454" s="8">
        <v>1.57</v>
      </c>
      <c r="E1454" s="4">
        <v>3</v>
      </c>
      <c r="F1454" s="8">
        <v>2.42</v>
      </c>
      <c r="G1454" s="4">
        <v>0</v>
      </c>
      <c r="H1454" s="8">
        <v>0</v>
      </c>
      <c r="I1454" s="4">
        <v>0</v>
      </c>
    </row>
    <row r="1455" spans="1:9" x14ac:dyDescent="0.2">
      <c r="A1455" s="2">
        <v>19</v>
      </c>
      <c r="B1455" s="1" t="s">
        <v>272</v>
      </c>
      <c r="C1455" s="4">
        <v>2</v>
      </c>
      <c r="D1455" s="8">
        <v>1.05</v>
      </c>
      <c r="E1455" s="4">
        <v>0</v>
      </c>
      <c r="F1455" s="8">
        <v>0</v>
      </c>
      <c r="G1455" s="4">
        <v>2</v>
      </c>
      <c r="H1455" s="8">
        <v>3.08</v>
      </c>
      <c r="I1455" s="4">
        <v>0</v>
      </c>
    </row>
    <row r="1456" spans="1:9" x14ac:dyDescent="0.2">
      <c r="A1456" s="2">
        <v>19</v>
      </c>
      <c r="B1456" s="1" t="s">
        <v>195</v>
      </c>
      <c r="C1456" s="4">
        <v>2</v>
      </c>
      <c r="D1456" s="8">
        <v>1.05</v>
      </c>
      <c r="E1456" s="4">
        <v>1</v>
      </c>
      <c r="F1456" s="8">
        <v>0.81</v>
      </c>
      <c r="G1456" s="4">
        <v>1</v>
      </c>
      <c r="H1456" s="8">
        <v>1.54</v>
      </c>
      <c r="I1456" s="4">
        <v>0</v>
      </c>
    </row>
    <row r="1457" spans="1:9" x14ac:dyDescent="0.2">
      <c r="A1457" s="2">
        <v>19</v>
      </c>
      <c r="B1457" s="1" t="s">
        <v>201</v>
      </c>
      <c r="C1457" s="4">
        <v>2</v>
      </c>
      <c r="D1457" s="8">
        <v>1.05</v>
      </c>
      <c r="E1457" s="4">
        <v>0</v>
      </c>
      <c r="F1457" s="8">
        <v>0</v>
      </c>
      <c r="G1457" s="4">
        <v>2</v>
      </c>
      <c r="H1457" s="8">
        <v>3.08</v>
      </c>
      <c r="I1457" s="4">
        <v>0</v>
      </c>
    </row>
    <row r="1458" spans="1:9" x14ac:dyDescent="0.2">
      <c r="A1458" s="2">
        <v>19</v>
      </c>
      <c r="B1458" s="1" t="s">
        <v>271</v>
      </c>
      <c r="C1458" s="4">
        <v>2</v>
      </c>
      <c r="D1458" s="8">
        <v>1.05</v>
      </c>
      <c r="E1458" s="4">
        <v>1</v>
      </c>
      <c r="F1458" s="8">
        <v>0.81</v>
      </c>
      <c r="G1458" s="4">
        <v>1</v>
      </c>
      <c r="H1458" s="8">
        <v>1.54</v>
      </c>
      <c r="I1458" s="4">
        <v>0</v>
      </c>
    </row>
    <row r="1459" spans="1:9" x14ac:dyDescent="0.2">
      <c r="A1459" s="2">
        <v>19</v>
      </c>
      <c r="B1459" s="1" t="s">
        <v>266</v>
      </c>
      <c r="C1459" s="4">
        <v>2</v>
      </c>
      <c r="D1459" s="8">
        <v>1.05</v>
      </c>
      <c r="E1459" s="4">
        <v>0</v>
      </c>
      <c r="F1459" s="8">
        <v>0</v>
      </c>
      <c r="G1459" s="4">
        <v>2</v>
      </c>
      <c r="H1459" s="8">
        <v>3.08</v>
      </c>
      <c r="I1459" s="4">
        <v>0</v>
      </c>
    </row>
    <row r="1460" spans="1:9" x14ac:dyDescent="0.2">
      <c r="A1460" s="2">
        <v>19</v>
      </c>
      <c r="B1460" s="1" t="s">
        <v>190</v>
      </c>
      <c r="C1460" s="4">
        <v>2</v>
      </c>
      <c r="D1460" s="8">
        <v>1.05</v>
      </c>
      <c r="E1460" s="4">
        <v>2</v>
      </c>
      <c r="F1460" s="8">
        <v>1.61</v>
      </c>
      <c r="G1460" s="4">
        <v>0</v>
      </c>
      <c r="H1460" s="8">
        <v>0</v>
      </c>
      <c r="I1460" s="4">
        <v>0</v>
      </c>
    </row>
    <row r="1461" spans="1:9" x14ac:dyDescent="0.2">
      <c r="A1461" s="2">
        <v>19</v>
      </c>
      <c r="B1461" s="1" t="s">
        <v>205</v>
      </c>
      <c r="C1461" s="4">
        <v>2</v>
      </c>
      <c r="D1461" s="8">
        <v>1.05</v>
      </c>
      <c r="E1461" s="4">
        <v>2</v>
      </c>
      <c r="F1461" s="8">
        <v>1.61</v>
      </c>
      <c r="G1461" s="4">
        <v>0</v>
      </c>
      <c r="H1461" s="8">
        <v>0</v>
      </c>
      <c r="I1461" s="4">
        <v>0</v>
      </c>
    </row>
    <row r="1462" spans="1:9" x14ac:dyDescent="0.2">
      <c r="A1462" s="2">
        <v>19</v>
      </c>
      <c r="B1462" s="1" t="s">
        <v>158</v>
      </c>
      <c r="C1462" s="4">
        <v>2</v>
      </c>
      <c r="D1462" s="8">
        <v>1.05</v>
      </c>
      <c r="E1462" s="4">
        <v>2</v>
      </c>
      <c r="F1462" s="8">
        <v>1.61</v>
      </c>
      <c r="G1462" s="4">
        <v>0</v>
      </c>
      <c r="H1462" s="8">
        <v>0</v>
      </c>
      <c r="I1462" s="4">
        <v>0</v>
      </c>
    </row>
    <row r="1463" spans="1:9" x14ac:dyDescent="0.2">
      <c r="A1463" s="2">
        <v>19</v>
      </c>
      <c r="B1463" s="1" t="s">
        <v>198</v>
      </c>
      <c r="C1463" s="4">
        <v>2</v>
      </c>
      <c r="D1463" s="8">
        <v>1.05</v>
      </c>
      <c r="E1463" s="4">
        <v>1</v>
      </c>
      <c r="F1463" s="8">
        <v>0.81</v>
      </c>
      <c r="G1463" s="4">
        <v>1</v>
      </c>
      <c r="H1463" s="8">
        <v>1.54</v>
      </c>
      <c r="I1463" s="4">
        <v>0</v>
      </c>
    </row>
    <row r="1464" spans="1:9" x14ac:dyDescent="0.2">
      <c r="A1464" s="2">
        <v>19</v>
      </c>
      <c r="B1464" s="1" t="s">
        <v>273</v>
      </c>
      <c r="C1464" s="4">
        <v>2</v>
      </c>
      <c r="D1464" s="8">
        <v>1.05</v>
      </c>
      <c r="E1464" s="4">
        <v>0</v>
      </c>
      <c r="F1464" s="8">
        <v>0</v>
      </c>
      <c r="G1464" s="4">
        <v>2</v>
      </c>
      <c r="H1464" s="8">
        <v>3.08</v>
      </c>
      <c r="I1464" s="4">
        <v>0</v>
      </c>
    </row>
    <row r="1465" spans="1:9" x14ac:dyDescent="0.2">
      <c r="A1465" s="2">
        <v>19</v>
      </c>
      <c r="B1465" s="1" t="s">
        <v>275</v>
      </c>
      <c r="C1465" s="4">
        <v>2</v>
      </c>
      <c r="D1465" s="8">
        <v>1.05</v>
      </c>
      <c r="E1465" s="4">
        <v>0</v>
      </c>
      <c r="F1465" s="8">
        <v>0</v>
      </c>
      <c r="G1465" s="4">
        <v>2</v>
      </c>
      <c r="H1465" s="8">
        <v>3.08</v>
      </c>
      <c r="I1465" s="4">
        <v>0</v>
      </c>
    </row>
    <row r="1466" spans="1:9" x14ac:dyDescent="0.2">
      <c r="A1466" s="2">
        <v>19</v>
      </c>
      <c r="B1466" s="1" t="s">
        <v>276</v>
      </c>
      <c r="C1466" s="4">
        <v>2</v>
      </c>
      <c r="D1466" s="8">
        <v>1.05</v>
      </c>
      <c r="E1466" s="4">
        <v>0</v>
      </c>
      <c r="F1466" s="8">
        <v>0</v>
      </c>
      <c r="G1466" s="4">
        <v>2</v>
      </c>
      <c r="H1466" s="8">
        <v>3.08</v>
      </c>
      <c r="I1466" s="4">
        <v>0</v>
      </c>
    </row>
    <row r="1467" spans="1:9" x14ac:dyDescent="0.2">
      <c r="A1467" s="1"/>
      <c r="C1467" s="4"/>
      <c r="D1467" s="8"/>
      <c r="E1467" s="4"/>
      <c r="F1467" s="8"/>
      <c r="G1467" s="4"/>
      <c r="H1467" s="8"/>
      <c r="I146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9929-4771-4DFA-A378-4227F7B529B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148</v>
      </c>
      <c r="D6" s="8">
        <v>8.89</v>
      </c>
      <c r="E6" s="12">
        <v>14</v>
      </c>
      <c r="F6" s="8">
        <v>2.2000000000000002</v>
      </c>
      <c r="G6" s="12">
        <v>134</v>
      </c>
      <c r="H6" s="8">
        <v>13.12</v>
      </c>
      <c r="I6" s="12">
        <v>0</v>
      </c>
    </row>
    <row r="7" spans="2:9" ht="15" customHeight="1" x14ac:dyDescent="0.2">
      <c r="B7" t="s">
        <v>67</v>
      </c>
      <c r="C7" s="12">
        <v>60</v>
      </c>
      <c r="D7" s="8">
        <v>3.6</v>
      </c>
      <c r="E7" s="12">
        <v>10</v>
      </c>
      <c r="F7" s="8">
        <v>1.57</v>
      </c>
      <c r="G7" s="12">
        <v>50</v>
      </c>
      <c r="H7" s="8">
        <v>4.9000000000000004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69</v>
      </c>
      <c r="C9" s="12">
        <v>40</v>
      </c>
      <c r="D9" s="8">
        <v>2.4</v>
      </c>
      <c r="E9" s="12">
        <v>1</v>
      </c>
      <c r="F9" s="8">
        <v>0.16</v>
      </c>
      <c r="G9" s="12">
        <v>39</v>
      </c>
      <c r="H9" s="8">
        <v>3.82</v>
      </c>
      <c r="I9" s="12">
        <v>0</v>
      </c>
    </row>
    <row r="10" spans="2:9" ht="15" customHeight="1" x14ac:dyDescent="0.2">
      <c r="B10" t="s">
        <v>70</v>
      </c>
      <c r="C10" s="12">
        <v>3</v>
      </c>
      <c r="D10" s="8">
        <v>0.18</v>
      </c>
      <c r="E10" s="12">
        <v>1</v>
      </c>
      <c r="F10" s="8">
        <v>0.16</v>
      </c>
      <c r="G10" s="12">
        <v>2</v>
      </c>
      <c r="H10" s="8">
        <v>0.2</v>
      </c>
      <c r="I10" s="12">
        <v>0</v>
      </c>
    </row>
    <row r="11" spans="2:9" ht="15" customHeight="1" x14ac:dyDescent="0.2">
      <c r="B11" t="s">
        <v>71</v>
      </c>
      <c r="C11" s="12">
        <v>328</v>
      </c>
      <c r="D11" s="8">
        <v>19.7</v>
      </c>
      <c r="E11" s="12">
        <v>123</v>
      </c>
      <c r="F11" s="8">
        <v>19.34</v>
      </c>
      <c r="G11" s="12">
        <v>205</v>
      </c>
      <c r="H11" s="8">
        <v>20.079999999999998</v>
      </c>
      <c r="I11" s="12">
        <v>0</v>
      </c>
    </row>
    <row r="12" spans="2:9" ht="15" customHeight="1" x14ac:dyDescent="0.2">
      <c r="B12" t="s">
        <v>72</v>
      </c>
      <c r="C12" s="12">
        <v>14</v>
      </c>
      <c r="D12" s="8">
        <v>0.84</v>
      </c>
      <c r="E12" s="12">
        <v>0</v>
      </c>
      <c r="F12" s="8">
        <v>0</v>
      </c>
      <c r="G12" s="12">
        <v>14</v>
      </c>
      <c r="H12" s="8">
        <v>1.37</v>
      </c>
      <c r="I12" s="12">
        <v>0</v>
      </c>
    </row>
    <row r="13" spans="2:9" ht="15" customHeight="1" x14ac:dyDescent="0.2">
      <c r="B13" t="s">
        <v>73</v>
      </c>
      <c r="C13" s="12">
        <v>284</v>
      </c>
      <c r="D13" s="8">
        <v>17.059999999999999</v>
      </c>
      <c r="E13" s="12">
        <v>44</v>
      </c>
      <c r="F13" s="8">
        <v>6.92</v>
      </c>
      <c r="G13" s="12">
        <v>240</v>
      </c>
      <c r="H13" s="8">
        <v>23.51</v>
      </c>
      <c r="I13" s="12">
        <v>0</v>
      </c>
    </row>
    <row r="14" spans="2:9" ht="15" customHeight="1" x14ac:dyDescent="0.2">
      <c r="B14" t="s">
        <v>74</v>
      </c>
      <c r="C14" s="12">
        <v>155</v>
      </c>
      <c r="D14" s="8">
        <v>9.31</v>
      </c>
      <c r="E14" s="12">
        <v>59</v>
      </c>
      <c r="F14" s="8">
        <v>9.2799999999999994</v>
      </c>
      <c r="G14" s="12">
        <v>96</v>
      </c>
      <c r="H14" s="8">
        <v>9.4</v>
      </c>
      <c r="I14" s="12">
        <v>0</v>
      </c>
    </row>
    <row r="15" spans="2:9" ht="15" customHeight="1" x14ac:dyDescent="0.2">
      <c r="B15" t="s">
        <v>75</v>
      </c>
      <c r="C15" s="12">
        <v>175</v>
      </c>
      <c r="D15" s="8">
        <v>10.51</v>
      </c>
      <c r="E15" s="12">
        <v>124</v>
      </c>
      <c r="F15" s="8">
        <v>19.5</v>
      </c>
      <c r="G15" s="12">
        <v>51</v>
      </c>
      <c r="H15" s="8">
        <v>5</v>
      </c>
      <c r="I15" s="12">
        <v>0</v>
      </c>
    </row>
    <row r="16" spans="2:9" ht="15" customHeight="1" x14ac:dyDescent="0.2">
      <c r="B16" t="s">
        <v>76</v>
      </c>
      <c r="C16" s="12">
        <v>203</v>
      </c>
      <c r="D16" s="8">
        <v>12.19</v>
      </c>
      <c r="E16" s="12">
        <v>123</v>
      </c>
      <c r="F16" s="8">
        <v>19.34</v>
      </c>
      <c r="G16" s="12">
        <v>80</v>
      </c>
      <c r="H16" s="8">
        <v>7.84</v>
      </c>
      <c r="I16" s="12">
        <v>0</v>
      </c>
    </row>
    <row r="17" spans="2:9" ht="15" customHeight="1" x14ac:dyDescent="0.2">
      <c r="B17" t="s">
        <v>77</v>
      </c>
      <c r="C17" s="12">
        <v>78</v>
      </c>
      <c r="D17" s="8">
        <v>4.68</v>
      </c>
      <c r="E17" s="12">
        <v>43</v>
      </c>
      <c r="F17" s="8">
        <v>6.76</v>
      </c>
      <c r="G17" s="12">
        <v>29</v>
      </c>
      <c r="H17" s="8">
        <v>2.84</v>
      </c>
      <c r="I17" s="12">
        <v>1</v>
      </c>
    </row>
    <row r="18" spans="2:9" ht="15" customHeight="1" x14ac:dyDescent="0.2">
      <c r="B18" t="s">
        <v>78</v>
      </c>
      <c r="C18" s="12">
        <v>134</v>
      </c>
      <c r="D18" s="8">
        <v>8.0500000000000007</v>
      </c>
      <c r="E18" s="12">
        <v>87</v>
      </c>
      <c r="F18" s="8">
        <v>13.68</v>
      </c>
      <c r="G18" s="12">
        <v>46</v>
      </c>
      <c r="H18" s="8">
        <v>4.51</v>
      </c>
      <c r="I18" s="12">
        <v>0</v>
      </c>
    </row>
    <row r="19" spans="2:9" ht="15" customHeight="1" x14ac:dyDescent="0.2">
      <c r="B19" t="s">
        <v>79</v>
      </c>
      <c r="C19" s="12">
        <v>42</v>
      </c>
      <c r="D19" s="8">
        <v>2.52</v>
      </c>
      <c r="E19" s="12">
        <v>7</v>
      </c>
      <c r="F19" s="8">
        <v>1.1000000000000001</v>
      </c>
      <c r="G19" s="12">
        <v>34</v>
      </c>
      <c r="H19" s="8">
        <v>3.33</v>
      </c>
      <c r="I19" s="12">
        <v>1</v>
      </c>
    </row>
    <row r="20" spans="2:9" ht="15" customHeight="1" x14ac:dyDescent="0.2">
      <c r="B20" s="9" t="s">
        <v>280</v>
      </c>
      <c r="C20" s="12">
        <f>SUM(LTBL_13210[総数／事業所数])</f>
        <v>1665</v>
      </c>
      <c r="E20" s="12">
        <f>SUBTOTAL(109,LTBL_13210[個人／事業所数])</f>
        <v>636</v>
      </c>
      <c r="G20" s="12">
        <f>SUBTOTAL(109,LTBL_13210[法人／事業所数])</f>
        <v>1021</v>
      </c>
      <c r="I20" s="12">
        <f>SUBTOTAL(109,LTBL_13210[法人以外の団体／事業所数])</f>
        <v>2</v>
      </c>
    </row>
    <row r="21" spans="2:9" ht="15" customHeight="1" x14ac:dyDescent="0.2">
      <c r="E21" s="11">
        <f>LTBL_13210[[#Totals],[個人／事業所数]]/LTBL_13210[[#Totals],[総数／事業所数]]</f>
        <v>0.38198198198198197</v>
      </c>
      <c r="G21" s="11">
        <f>LTBL_13210[[#Totals],[法人／事業所数]]/LTBL_13210[[#Totals],[総数／事業所数]]</f>
        <v>0.6132132132132132</v>
      </c>
      <c r="I21" s="11">
        <f>LTBL_13210[[#Totals],[法人以外の団体／事業所数]]/LTBL_13210[[#Totals],[総数／事業所数]]</f>
        <v>1.2012012012012011E-3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232</v>
      </c>
      <c r="D24" s="8">
        <v>13.93</v>
      </c>
      <c r="E24" s="12">
        <v>43</v>
      </c>
      <c r="F24" s="8">
        <v>6.76</v>
      </c>
      <c r="G24" s="12">
        <v>189</v>
      </c>
      <c r="H24" s="8">
        <v>18.510000000000002</v>
      </c>
      <c r="I24" s="12">
        <v>0</v>
      </c>
    </row>
    <row r="25" spans="2:9" ht="15" customHeight="1" x14ac:dyDescent="0.2">
      <c r="B25" t="s">
        <v>103</v>
      </c>
      <c r="C25" s="12">
        <v>166</v>
      </c>
      <c r="D25" s="8">
        <v>9.9700000000000006</v>
      </c>
      <c r="E25" s="12">
        <v>120</v>
      </c>
      <c r="F25" s="8">
        <v>18.87</v>
      </c>
      <c r="G25" s="12">
        <v>46</v>
      </c>
      <c r="H25" s="8">
        <v>4.51</v>
      </c>
      <c r="I25" s="12">
        <v>0</v>
      </c>
    </row>
    <row r="26" spans="2:9" ht="15" customHeight="1" x14ac:dyDescent="0.2">
      <c r="B26" t="s">
        <v>104</v>
      </c>
      <c r="C26" s="12">
        <v>160</v>
      </c>
      <c r="D26" s="8">
        <v>9.61</v>
      </c>
      <c r="E26" s="12">
        <v>110</v>
      </c>
      <c r="F26" s="8">
        <v>17.3</v>
      </c>
      <c r="G26" s="12">
        <v>50</v>
      </c>
      <c r="H26" s="8">
        <v>4.9000000000000004</v>
      </c>
      <c r="I26" s="12">
        <v>0</v>
      </c>
    </row>
    <row r="27" spans="2:9" ht="15" customHeight="1" x14ac:dyDescent="0.2">
      <c r="B27" t="s">
        <v>98</v>
      </c>
      <c r="C27" s="12">
        <v>102</v>
      </c>
      <c r="D27" s="8">
        <v>6.13</v>
      </c>
      <c r="E27" s="12">
        <v>39</v>
      </c>
      <c r="F27" s="8">
        <v>6.13</v>
      </c>
      <c r="G27" s="12">
        <v>63</v>
      </c>
      <c r="H27" s="8">
        <v>6.17</v>
      </c>
      <c r="I27" s="12">
        <v>0</v>
      </c>
    </row>
    <row r="28" spans="2:9" ht="15" customHeight="1" x14ac:dyDescent="0.2">
      <c r="B28" t="s">
        <v>106</v>
      </c>
      <c r="C28" s="12">
        <v>102</v>
      </c>
      <c r="D28" s="8">
        <v>6.13</v>
      </c>
      <c r="E28" s="12">
        <v>86</v>
      </c>
      <c r="F28" s="8">
        <v>13.52</v>
      </c>
      <c r="G28" s="12">
        <v>16</v>
      </c>
      <c r="H28" s="8">
        <v>1.57</v>
      </c>
      <c r="I28" s="12">
        <v>0</v>
      </c>
    </row>
    <row r="29" spans="2:9" ht="15" customHeight="1" x14ac:dyDescent="0.2">
      <c r="B29" t="s">
        <v>101</v>
      </c>
      <c r="C29" s="12">
        <v>97</v>
      </c>
      <c r="D29" s="8">
        <v>5.83</v>
      </c>
      <c r="E29" s="12">
        <v>43</v>
      </c>
      <c r="F29" s="8">
        <v>6.76</v>
      </c>
      <c r="G29" s="12">
        <v>54</v>
      </c>
      <c r="H29" s="8">
        <v>5.29</v>
      </c>
      <c r="I29" s="12">
        <v>0</v>
      </c>
    </row>
    <row r="30" spans="2:9" ht="15" customHeight="1" x14ac:dyDescent="0.2">
      <c r="B30" t="s">
        <v>105</v>
      </c>
      <c r="C30" s="12">
        <v>78</v>
      </c>
      <c r="D30" s="8">
        <v>4.68</v>
      </c>
      <c r="E30" s="12">
        <v>43</v>
      </c>
      <c r="F30" s="8">
        <v>6.76</v>
      </c>
      <c r="G30" s="12">
        <v>29</v>
      </c>
      <c r="H30" s="8">
        <v>2.84</v>
      </c>
      <c r="I30" s="12">
        <v>1</v>
      </c>
    </row>
    <row r="31" spans="2:9" ht="15" customHeight="1" x14ac:dyDescent="0.2">
      <c r="B31" t="s">
        <v>96</v>
      </c>
      <c r="C31" s="12">
        <v>65</v>
      </c>
      <c r="D31" s="8">
        <v>3.9</v>
      </c>
      <c r="E31" s="12">
        <v>46</v>
      </c>
      <c r="F31" s="8">
        <v>7.23</v>
      </c>
      <c r="G31" s="12">
        <v>19</v>
      </c>
      <c r="H31" s="8">
        <v>1.86</v>
      </c>
      <c r="I31" s="12">
        <v>0</v>
      </c>
    </row>
    <row r="32" spans="2:9" ht="15" customHeight="1" x14ac:dyDescent="0.2">
      <c r="B32" t="s">
        <v>88</v>
      </c>
      <c r="C32" s="12">
        <v>51</v>
      </c>
      <c r="D32" s="8">
        <v>3.06</v>
      </c>
      <c r="E32" s="12">
        <v>4</v>
      </c>
      <c r="F32" s="8">
        <v>0.63</v>
      </c>
      <c r="G32" s="12">
        <v>47</v>
      </c>
      <c r="H32" s="8">
        <v>4.5999999999999996</v>
      </c>
      <c r="I32" s="12">
        <v>0</v>
      </c>
    </row>
    <row r="33" spans="2:9" ht="15" customHeight="1" x14ac:dyDescent="0.2">
      <c r="B33" t="s">
        <v>89</v>
      </c>
      <c r="C33" s="12">
        <v>50</v>
      </c>
      <c r="D33" s="8">
        <v>3</v>
      </c>
      <c r="E33" s="12">
        <v>6</v>
      </c>
      <c r="F33" s="8">
        <v>0.94</v>
      </c>
      <c r="G33" s="12">
        <v>44</v>
      </c>
      <c r="H33" s="8">
        <v>4.3099999999999996</v>
      </c>
      <c r="I33" s="12">
        <v>0</v>
      </c>
    </row>
    <row r="34" spans="2:9" ht="15" customHeight="1" x14ac:dyDescent="0.2">
      <c r="B34" t="s">
        <v>99</v>
      </c>
      <c r="C34" s="12">
        <v>50</v>
      </c>
      <c r="D34" s="8">
        <v>3</v>
      </c>
      <c r="E34" s="12">
        <v>0</v>
      </c>
      <c r="F34" s="8">
        <v>0</v>
      </c>
      <c r="G34" s="12">
        <v>50</v>
      </c>
      <c r="H34" s="8">
        <v>4.9000000000000004</v>
      </c>
      <c r="I34" s="12">
        <v>0</v>
      </c>
    </row>
    <row r="35" spans="2:9" ht="15" customHeight="1" x14ac:dyDescent="0.2">
      <c r="B35" t="s">
        <v>102</v>
      </c>
      <c r="C35" s="12">
        <v>49</v>
      </c>
      <c r="D35" s="8">
        <v>2.94</v>
      </c>
      <c r="E35" s="12">
        <v>16</v>
      </c>
      <c r="F35" s="8">
        <v>2.52</v>
      </c>
      <c r="G35" s="12">
        <v>33</v>
      </c>
      <c r="H35" s="8">
        <v>3.23</v>
      </c>
      <c r="I35" s="12">
        <v>0</v>
      </c>
    </row>
    <row r="36" spans="2:9" ht="15" customHeight="1" x14ac:dyDescent="0.2">
      <c r="B36" t="s">
        <v>90</v>
      </c>
      <c r="C36" s="12">
        <v>47</v>
      </c>
      <c r="D36" s="8">
        <v>2.82</v>
      </c>
      <c r="E36" s="12">
        <v>4</v>
      </c>
      <c r="F36" s="8">
        <v>0.63</v>
      </c>
      <c r="G36" s="12">
        <v>43</v>
      </c>
      <c r="H36" s="8">
        <v>4.21</v>
      </c>
      <c r="I36" s="12">
        <v>0</v>
      </c>
    </row>
    <row r="37" spans="2:9" ht="15" customHeight="1" x14ac:dyDescent="0.2">
      <c r="B37" t="s">
        <v>132</v>
      </c>
      <c r="C37" s="12">
        <v>32</v>
      </c>
      <c r="D37" s="8">
        <v>1.92</v>
      </c>
      <c r="E37" s="12">
        <v>1</v>
      </c>
      <c r="F37" s="8">
        <v>0.16</v>
      </c>
      <c r="G37" s="12">
        <v>30</v>
      </c>
      <c r="H37" s="8">
        <v>2.94</v>
      </c>
      <c r="I37" s="12">
        <v>0</v>
      </c>
    </row>
    <row r="38" spans="2:9" ht="15" customHeight="1" x14ac:dyDescent="0.2">
      <c r="B38" t="s">
        <v>97</v>
      </c>
      <c r="C38" s="12">
        <v>31</v>
      </c>
      <c r="D38" s="8">
        <v>1.86</v>
      </c>
      <c r="E38" s="12">
        <v>13</v>
      </c>
      <c r="F38" s="8">
        <v>2.04</v>
      </c>
      <c r="G38" s="12">
        <v>18</v>
      </c>
      <c r="H38" s="8">
        <v>1.76</v>
      </c>
      <c r="I38" s="12">
        <v>0</v>
      </c>
    </row>
    <row r="39" spans="2:9" ht="15" customHeight="1" x14ac:dyDescent="0.2">
      <c r="B39" t="s">
        <v>95</v>
      </c>
      <c r="C39" s="12">
        <v>30</v>
      </c>
      <c r="D39" s="8">
        <v>1.8</v>
      </c>
      <c r="E39" s="12">
        <v>17</v>
      </c>
      <c r="F39" s="8">
        <v>2.67</v>
      </c>
      <c r="G39" s="12">
        <v>13</v>
      </c>
      <c r="H39" s="8">
        <v>1.27</v>
      </c>
      <c r="I39" s="12">
        <v>0</v>
      </c>
    </row>
    <row r="40" spans="2:9" ht="15" customHeight="1" x14ac:dyDescent="0.2">
      <c r="B40" t="s">
        <v>107</v>
      </c>
      <c r="C40" s="12">
        <v>28</v>
      </c>
      <c r="D40" s="8">
        <v>1.68</v>
      </c>
      <c r="E40" s="12">
        <v>1</v>
      </c>
      <c r="F40" s="8">
        <v>0.16</v>
      </c>
      <c r="G40" s="12">
        <v>26</v>
      </c>
      <c r="H40" s="8">
        <v>2.5499999999999998</v>
      </c>
      <c r="I40" s="12">
        <v>1</v>
      </c>
    </row>
    <row r="41" spans="2:9" ht="15" customHeight="1" x14ac:dyDescent="0.2">
      <c r="B41" t="s">
        <v>115</v>
      </c>
      <c r="C41" s="12">
        <v>26</v>
      </c>
      <c r="D41" s="8">
        <v>1.56</v>
      </c>
      <c r="E41" s="12">
        <v>9</v>
      </c>
      <c r="F41" s="8">
        <v>1.42</v>
      </c>
      <c r="G41" s="12">
        <v>17</v>
      </c>
      <c r="H41" s="8">
        <v>1.67</v>
      </c>
      <c r="I41" s="12">
        <v>0</v>
      </c>
    </row>
    <row r="42" spans="2:9" ht="15" customHeight="1" x14ac:dyDescent="0.2">
      <c r="B42" t="s">
        <v>129</v>
      </c>
      <c r="C42" s="12">
        <v>25</v>
      </c>
      <c r="D42" s="8">
        <v>1.5</v>
      </c>
      <c r="E42" s="12">
        <v>2</v>
      </c>
      <c r="F42" s="8">
        <v>0.31</v>
      </c>
      <c r="G42" s="12">
        <v>23</v>
      </c>
      <c r="H42" s="8">
        <v>2.25</v>
      </c>
      <c r="I42" s="12">
        <v>0</v>
      </c>
    </row>
    <row r="43" spans="2:9" ht="15" customHeight="1" x14ac:dyDescent="0.2">
      <c r="B43" t="s">
        <v>94</v>
      </c>
      <c r="C43" s="12">
        <v>24</v>
      </c>
      <c r="D43" s="8">
        <v>1.44</v>
      </c>
      <c r="E43" s="12">
        <v>1</v>
      </c>
      <c r="F43" s="8">
        <v>0.16</v>
      </c>
      <c r="G43" s="12">
        <v>23</v>
      </c>
      <c r="H43" s="8">
        <v>2.25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142</v>
      </c>
      <c r="D47" s="8">
        <v>8.5299999999999994</v>
      </c>
      <c r="E47" s="12">
        <v>33</v>
      </c>
      <c r="F47" s="8">
        <v>5.19</v>
      </c>
      <c r="G47" s="12">
        <v>109</v>
      </c>
      <c r="H47" s="8">
        <v>10.68</v>
      </c>
      <c r="I47" s="12">
        <v>0</v>
      </c>
    </row>
    <row r="48" spans="2:9" ht="15" customHeight="1" x14ac:dyDescent="0.2">
      <c r="B48" t="s">
        <v>175</v>
      </c>
      <c r="C48" s="12">
        <v>68</v>
      </c>
      <c r="D48" s="8">
        <v>4.08</v>
      </c>
      <c r="E48" s="12">
        <v>61</v>
      </c>
      <c r="F48" s="8">
        <v>9.59</v>
      </c>
      <c r="G48" s="12">
        <v>7</v>
      </c>
      <c r="H48" s="8">
        <v>0.69</v>
      </c>
      <c r="I48" s="12">
        <v>0</v>
      </c>
    </row>
    <row r="49" spans="2:9" ht="15" customHeight="1" x14ac:dyDescent="0.2">
      <c r="B49" t="s">
        <v>172</v>
      </c>
      <c r="C49" s="12">
        <v>66</v>
      </c>
      <c r="D49" s="8">
        <v>3.96</v>
      </c>
      <c r="E49" s="12">
        <v>49</v>
      </c>
      <c r="F49" s="8">
        <v>7.7</v>
      </c>
      <c r="G49" s="12">
        <v>17</v>
      </c>
      <c r="H49" s="8">
        <v>1.67</v>
      </c>
      <c r="I49" s="12">
        <v>0</v>
      </c>
    </row>
    <row r="50" spans="2:9" ht="15" customHeight="1" x14ac:dyDescent="0.2">
      <c r="B50" t="s">
        <v>163</v>
      </c>
      <c r="C50" s="12">
        <v>51</v>
      </c>
      <c r="D50" s="8">
        <v>3.06</v>
      </c>
      <c r="E50" s="12">
        <v>2</v>
      </c>
      <c r="F50" s="8">
        <v>0.31</v>
      </c>
      <c r="G50" s="12">
        <v>49</v>
      </c>
      <c r="H50" s="8">
        <v>4.8</v>
      </c>
      <c r="I50" s="12">
        <v>0</v>
      </c>
    </row>
    <row r="51" spans="2:9" ht="15" customHeight="1" x14ac:dyDescent="0.2">
      <c r="B51" t="s">
        <v>168</v>
      </c>
      <c r="C51" s="12">
        <v>49</v>
      </c>
      <c r="D51" s="8">
        <v>2.94</v>
      </c>
      <c r="E51" s="12">
        <v>33</v>
      </c>
      <c r="F51" s="8">
        <v>5.19</v>
      </c>
      <c r="G51" s="12">
        <v>16</v>
      </c>
      <c r="H51" s="8">
        <v>1.57</v>
      </c>
      <c r="I51" s="12">
        <v>0</v>
      </c>
    </row>
    <row r="52" spans="2:9" ht="15" customHeight="1" x14ac:dyDescent="0.2">
      <c r="B52" t="s">
        <v>173</v>
      </c>
      <c r="C52" s="12">
        <v>48</v>
      </c>
      <c r="D52" s="8">
        <v>2.88</v>
      </c>
      <c r="E52" s="12">
        <v>32</v>
      </c>
      <c r="F52" s="8">
        <v>5.03</v>
      </c>
      <c r="G52" s="12">
        <v>16</v>
      </c>
      <c r="H52" s="8">
        <v>1.57</v>
      </c>
      <c r="I52" s="12">
        <v>0</v>
      </c>
    </row>
    <row r="53" spans="2:9" ht="15" customHeight="1" x14ac:dyDescent="0.2">
      <c r="B53" t="s">
        <v>169</v>
      </c>
      <c r="C53" s="12">
        <v>45</v>
      </c>
      <c r="D53" s="8">
        <v>2.7</v>
      </c>
      <c r="E53" s="12">
        <v>38</v>
      </c>
      <c r="F53" s="8">
        <v>5.97</v>
      </c>
      <c r="G53" s="12">
        <v>7</v>
      </c>
      <c r="H53" s="8">
        <v>0.69</v>
      </c>
      <c r="I53" s="12">
        <v>0</v>
      </c>
    </row>
    <row r="54" spans="2:9" ht="15" customHeight="1" x14ac:dyDescent="0.2">
      <c r="B54" t="s">
        <v>160</v>
      </c>
      <c r="C54" s="12">
        <v>39</v>
      </c>
      <c r="D54" s="8">
        <v>2.34</v>
      </c>
      <c r="E54" s="12">
        <v>0</v>
      </c>
      <c r="F54" s="8">
        <v>0</v>
      </c>
      <c r="G54" s="12">
        <v>39</v>
      </c>
      <c r="H54" s="8">
        <v>3.82</v>
      </c>
      <c r="I54" s="12">
        <v>0</v>
      </c>
    </row>
    <row r="55" spans="2:9" ht="15" customHeight="1" x14ac:dyDescent="0.2">
      <c r="B55" t="s">
        <v>159</v>
      </c>
      <c r="C55" s="12">
        <v>38</v>
      </c>
      <c r="D55" s="8">
        <v>2.2799999999999998</v>
      </c>
      <c r="E55" s="12">
        <v>17</v>
      </c>
      <c r="F55" s="8">
        <v>2.67</v>
      </c>
      <c r="G55" s="12">
        <v>21</v>
      </c>
      <c r="H55" s="8">
        <v>2.06</v>
      </c>
      <c r="I55" s="12">
        <v>0</v>
      </c>
    </row>
    <row r="56" spans="2:9" ht="15" customHeight="1" x14ac:dyDescent="0.2">
      <c r="B56" t="s">
        <v>171</v>
      </c>
      <c r="C56" s="12">
        <v>38</v>
      </c>
      <c r="D56" s="8">
        <v>2.2799999999999998</v>
      </c>
      <c r="E56" s="12">
        <v>37</v>
      </c>
      <c r="F56" s="8">
        <v>5.82</v>
      </c>
      <c r="G56" s="12">
        <v>1</v>
      </c>
      <c r="H56" s="8">
        <v>0.1</v>
      </c>
      <c r="I56" s="12">
        <v>0</v>
      </c>
    </row>
    <row r="57" spans="2:9" ht="15" customHeight="1" x14ac:dyDescent="0.2">
      <c r="B57" t="s">
        <v>197</v>
      </c>
      <c r="C57" s="12">
        <v>35</v>
      </c>
      <c r="D57" s="8">
        <v>2.1</v>
      </c>
      <c r="E57" s="12">
        <v>13</v>
      </c>
      <c r="F57" s="8">
        <v>2.04</v>
      </c>
      <c r="G57" s="12">
        <v>22</v>
      </c>
      <c r="H57" s="8">
        <v>2.15</v>
      </c>
      <c r="I57" s="12">
        <v>0</v>
      </c>
    </row>
    <row r="58" spans="2:9" ht="15" customHeight="1" x14ac:dyDescent="0.2">
      <c r="B58" t="s">
        <v>161</v>
      </c>
      <c r="C58" s="12">
        <v>30</v>
      </c>
      <c r="D58" s="8">
        <v>1.8</v>
      </c>
      <c r="E58" s="12">
        <v>4</v>
      </c>
      <c r="F58" s="8">
        <v>0.63</v>
      </c>
      <c r="G58" s="12">
        <v>26</v>
      </c>
      <c r="H58" s="8">
        <v>2.5499999999999998</v>
      </c>
      <c r="I58" s="12">
        <v>0</v>
      </c>
    </row>
    <row r="59" spans="2:9" ht="15" customHeight="1" x14ac:dyDescent="0.2">
      <c r="B59" t="s">
        <v>205</v>
      </c>
      <c r="C59" s="12">
        <v>27</v>
      </c>
      <c r="D59" s="8">
        <v>1.62</v>
      </c>
      <c r="E59" s="12">
        <v>22</v>
      </c>
      <c r="F59" s="8">
        <v>3.46</v>
      </c>
      <c r="G59" s="12">
        <v>5</v>
      </c>
      <c r="H59" s="8">
        <v>0.49</v>
      </c>
      <c r="I59" s="12">
        <v>0</v>
      </c>
    </row>
    <row r="60" spans="2:9" ht="15" customHeight="1" x14ac:dyDescent="0.2">
      <c r="B60" t="s">
        <v>167</v>
      </c>
      <c r="C60" s="12">
        <v>26</v>
      </c>
      <c r="D60" s="8">
        <v>1.56</v>
      </c>
      <c r="E60" s="12">
        <v>7</v>
      </c>
      <c r="F60" s="8">
        <v>1.1000000000000001</v>
      </c>
      <c r="G60" s="12">
        <v>19</v>
      </c>
      <c r="H60" s="8">
        <v>1.86</v>
      </c>
      <c r="I60" s="12">
        <v>0</v>
      </c>
    </row>
    <row r="61" spans="2:9" ht="15" customHeight="1" x14ac:dyDescent="0.2">
      <c r="B61" t="s">
        <v>198</v>
      </c>
      <c r="C61" s="12">
        <v>25</v>
      </c>
      <c r="D61" s="8">
        <v>1.5</v>
      </c>
      <c r="E61" s="12">
        <v>5</v>
      </c>
      <c r="F61" s="8">
        <v>0.79</v>
      </c>
      <c r="G61" s="12">
        <v>20</v>
      </c>
      <c r="H61" s="8">
        <v>1.96</v>
      </c>
      <c r="I61" s="12">
        <v>0</v>
      </c>
    </row>
    <row r="62" spans="2:9" ht="15" customHeight="1" x14ac:dyDescent="0.2">
      <c r="B62" t="s">
        <v>165</v>
      </c>
      <c r="C62" s="12">
        <v>25</v>
      </c>
      <c r="D62" s="8">
        <v>1.5</v>
      </c>
      <c r="E62" s="12">
        <v>1</v>
      </c>
      <c r="F62" s="8">
        <v>0.16</v>
      </c>
      <c r="G62" s="12">
        <v>24</v>
      </c>
      <c r="H62" s="8">
        <v>2.35</v>
      </c>
      <c r="I62" s="12">
        <v>0</v>
      </c>
    </row>
    <row r="63" spans="2:9" ht="15" customHeight="1" x14ac:dyDescent="0.2">
      <c r="B63" t="s">
        <v>166</v>
      </c>
      <c r="C63" s="12">
        <v>24</v>
      </c>
      <c r="D63" s="8">
        <v>1.44</v>
      </c>
      <c r="E63" s="12">
        <v>1</v>
      </c>
      <c r="F63" s="8">
        <v>0.16</v>
      </c>
      <c r="G63" s="12">
        <v>23</v>
      </c>
      <c r="H63" s="8">
        <v>2.25</v>
      </c>
      <c r="I63" s="12">
        <v>0</v>
      </c>
    </row>
    <row r="64" spans="2:9" ht="15" customHeight="1" x14ac:dyDescent="0.2">
      <c r="B64" t="s">
        <v>174</v>
      </c>
      <c r="C64" s="12">
        <v>24</v>
      </c>
      <c r="D64" s="8">
        <v>1.44</v>
      </c>
      <c r="E64" s="12">
        <v>21</v>
      </c>
      <c r="F64" s="8">
        <v>3.3</v>
      </c>
      <c r="G64" s="12">
        <v>3</v>
      </c>
      <c r="H64" s="8">
        <v>0.28999999999999998</v>
      </c>
      <c r="I64" s="12">
        <v>0</v>
      </c>
    </row>
    <row r="65" spans="2:9" ht="15" customHeight="1" x14ac:dyDescent="0.2">
      <c r="B65" t="s">
        <v>158</v>
      </c>
      <c r="C65" s="12">
        <v>23</v>
      </c>
      <c r="D65" s="8">
        <v>1.38</v>
      </c>
      <c r="E65" s="12">
        <v>15</v>
      </c>
      <c r="F65" s="8">
        <v>2.36</v>
      </c>
      <c r="G65" s="12">
        <v>8</v>
      </c>
      <c r="H65" s="8">
        <v>0.78</v>
      </c>
      <c r="I65" s="12">
        <v>0</v>
      </c>
    </row>
    <row r="66" spans="2:9" ht="15" customHeight="1" x14ac:dyDescent="0.2">
      <c r="B66" t="s">
        <v>170</v>
      </c>
      <c r="C66" s="12">
        <v>23</v>
      </c>
      <c r="D66" s="8">
        <v>1.38</v>
      </c>
      <c r="E66" s="12">
        <v>19</v>
      </c>
      <c r="F66" s="8">
        <v>2.99</v>
      </c>
      <c r="G66" s="12">
        <v>4</v>
      </c>
      <c r="H66" s="8">
        <v>0.39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252A-8DD1-4774-B23A-7F844C4FA78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368</v>
      </c>
      <c r="D6" s="8">
        <v>14.28</v>
      </c>
      <c r="E6" s="12">
        <v>60</v>
      </c>
      <c r="F6" s="8">
        <v>5.45</v>
      </c>
      <c r="G6" s="12">
        <v>308</v>
      </c>
      <c r="H6" s="8">
        <v>21.31</v>
      </c>
      <c r="I6" s="12">
        <v>0</v>
      </c>
    </row>
    <row r="7" spans="2:9" ht="15" customHeight="1" x14ac:dyDescent="0.2">
      <c r="B7" t="s">
        <v>67</v>
      </c>
      <c r="C7" s="12">
        <v>111</v>
      </c>
      <c r="D7" s="8">
        <v>4.3099999999999996</v>
      </c>
      <c r="E7" s="12">
        <v>13</v>
      </c>
      <c r="F7" s="8">
        <v>1.18</v>
      </c>
      <c r="G7" s="12">
        <v>98</v>
      </c>
      <c r="H7" s="8">
        <v>6.78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69</v>
      </c>
      <c r="C9" s="12">
        <v>64</v>
      </c>
      <c r="D9" s="8">
        <v>2.48</v>
      </c>
      <c r="E9" s="12">
        <v>5</v>
      </c>
      <c r="F9" s="8">
        <v>0.45</v>
      </c>
      <c r="G9" s="12">
        <v>59</v>
      </c>
      <c r="H9" s="8">
        <v>4.08</v>
      </c>
      <c r="I9" s="12">
        <v>0</v>
      </c>
    </row>
    <row r="10" spans="2:9" ht="15" customHeight="1" x14ac:dyDescent="0.2">
      <c r="B10" t="s">
        <v>70</v>
      </c>
      <c r="C10" s="12">
        <v>15</v>
      </c>
      <c r="D10" s="8">
        <v>0.57999999999999996</v>
      </c>
      <c r="E10" s="12">
        <v>4</v>
      </c>
      <c r="F10" s="8">
        <v>0.36</v>
      </c>
      <c r="G10" s="12">
        <v>11</v>
      </c>
      <c r="H10" s="8">
        <v>0.76</v>
      </c>
      <c r="I10" s="12">
        <v>0</v>
      </c>
    </row>
    <row r="11" spans="2:9" ht="15" customHeight="1" x14ac:dyDescent="0.2">
      <c r="B11" t="s">
        <v>71</v>
      </c>
      <c r="C11" s="12">
        <v>498</v>
      </c>
      <c r="D11" s="8">
        <v>19.32</v>
      </c>
      <c r="E11" s="12">
        <v>216</v>
      </c>
      <c r="F11" s="8">
        <v>19.64</v>
      </c>
      <c r="G11" s="12">
        <v>282</v>
      </c>
      <c r="H11" s="8">
        <v>19.52</v>
      </c>
      <c r="I11" s="12">
        <v>0</v>
      </c>
    </row>
    <row r="12" spans="2:9" ht="15" customHeight="1" x14ac:dyDescent="0.2">
      <c r="B12" t="s">
        <v>72</v>
      </c>
      <c r="C12" s="12">
        <v>22</v>
      </c>
      <c r="D12" s="8">
        <v>0.85</v>
      </c>
      <c r="E12" s="12">
        <v>1</v>
      </c>
      <c r="F12" s="8">
        <v>0.09</v>
      </c>
      <c r="G12" s="12">
        <v>21</v>
      </c>
      <c r="H12" s="8">
        <v>1.45</v>
      </c>
      <c r="I12" s="12">
        <v>0</v>
      </c>
    </row>
    <row r="13" spans="2:9" ht="15" customHeight="1" x14ac:dyDescent="0.2">
      <c r="B13" t="s">
        <v>73</v>
      </c>
      <c r="C13" s="12">
        <v>334</v>
      </c>
      <c r="D13" s="8">
        <v>12.96</v>
      </c>
      <c r="E13" s="12">
        <v>90</v>
      </c>
      <c r="F13" s="8">
        <v>8.18</v>
      </c>
      <c r="G13" s="12">
        <v>244</v>
      </c>
      <c r="H13" s="8">
        <v>16.89</v>
      </c>
      <c r="I13" s="12">
        <v>0</v>
      </c>
    </row>
    <row r="14" spans="2:9" ht="15" customHeight="1" x14ac:dyDescent="0.2">
      <c r="B14" t="s">
        <v>74</v>
      </c>
      <c r="C14" s="12">
        <v>195</v>
      </c>
      <c r="D14" s="8">
        <v>7.57</v>
      </c>
      <c r="E14" s="12">
        <v>67</v>
      </c>
      <c r="F14" s="8">
        <v>6.09</v>
      </c>
      <c r="G14" s="12">
        <v>126</v>
      </c>
      <c r="H14" s="8">
        <v>8.7200000000000006</v>
      </c>
      <c r="I14" s="12">
        <v>1</v>
      </c>
    </row>
    <row r="15" spans="2:9" ht="15" customHeight="1" x14ac:dyDescent="0.2">
      <c r="B15" t="s">
        <v>75</v>
      </c>
      <c r="C15" s="12">
        <v>263</v>
      </c>
      <c r="D15" s="8">
        <v>10.210000000000001</v>
      </c>
      <c r="E15" s="12">
        <v>204</v>
      </c>
      <c r="F15" s="8">
        <v>18.55</v>
      </c>
      <c r="G15" s="12">
        <v>58</v>
      </c>
      <c r="H15" s="8">
        <v>4.01</v>
      </c>
      <c r="I15" s="12">
        <v>1</v>
      </c>
    </row>
    <row r="16" spans="2:9" ht="15" customHeight="1" x14ac:dyDescent="0.2">
      <c r="B16" t="s">
        <v>76</v>
      </c>
      <c r="C16" s="12">
        <v>314</v>
      </c>
      <c r="D16" s="8">
        <v>12.18</v>
      </c>
      <c r="E16" s="12">
        <v>213</v>
      </c>
      <c r="F16" s="8">
        <v>19.36</v>
      </c>
      <c r="G16" s="12">
        <v>101</v>
      </c>
      <c r="H16" s="8">
        <v>6.99</v>
      </c>
      <c r="I16" s="12">
        <v>0</v>
      </c>
    </row>
    <row r="17" spans="2:9" ht="15" customHeight="1" x14ac:dyDescent="0.2">
      <c r="B17" t="s">
        <v>77</v>
      </c>
      <c r="C17" s="12">
        <v>144</v>
      </c>
      <c r="D17" s="8">
        <v>5.59</v>
      </c>
      <c r="E17" s="12">
        <v>108</v>
      </c>
      <c r="F17" s="8">
        <v>9.82</v>
      </c>
      <c r="G17" s="12">
        <v>33</v>
      </c>
      <c r="H17" s="8">
        <v>2.2799999999999998</v>
      </c>
      <c r="I17" s="12">
        <v>0</v>
      </c>
    </row>
    <row r="18" spans="2:9" ht="15" customHeight="1" x14ac:dyDescent="0.2">
      <c r="B18" t="s">
        <v>78</v>
      </c>
      <c r="C18" s="12">
        <v>158</v>
      </c>
      <c r="D18" s="8">
        <v>6.13</v>
      </c>
      <c r="E18" s="12">
        <v>106</v>
      </c>
      <c r="F18" s="8">
        <v>9.64</v>
      </c>
      <c r="G18" s="12">
        <v>45</v>
      </c>
      <c r="H18" s="8">
        <v>3.11</v>
      </c>
      <c r="I18" s="12">
        <v>0</v>
      </c>
    </row>
    <row r="19" spans="2:9" ht="15" customHeight="1" x14ac:dyDescent="0.2">
      <c r="B19" t="s">
        <v>79</v>
      </c>
      <c r="C19" s="12">
        <v>89</v>
      </c>
      <c r="D19" s="8">
        <v>3.45</v>
      </c>
      <c r="E19" s="12">
        <v>13</v>
      </c>
      <c r="F19" s="8">
        <v>1.18</v>
      </c>
      <c r="G19" s="12">
        <v>57</v>
      </c>
      <c r="H19" s="8">
        <v>3.94</v>
      </c>
      <c r="I19" s="12">
        <v>0</v>
      </c>
    </row>
    <row r="20" spans="2:9" ht="15" customHeight="1" x14ac:dyDescent="0.2">
      <c r="B20" s="9" t="s">
        <v>280</v>
      </c>
      <c r="C20" s="12">
        <f>SUM(LTBL_13211[総数／事業所数])</f>
        <v>2577</v>
      </c>
      <c r="E20" s="12">
        <f>SUBTOTAL(109,LTBL_13211[個人／事業所数])</f>
        <v>1100</v>
      </c>
      <c r="G20" s="12">
        <f>SUBTOTAL(109,LTBL_13211[法人／事業所数])</f>
        <v>1445</v>
      </c>
      <c r="I20" s="12">
        <f>SUBTOTAL(109,LTBL_13211[法人以外の団体／事業所数])</f>
        <v>2</v>
      </c>
    </row>
    <row r="21" spans="2:9" ht="15" customHeight="1" x14ac:dyDescent="0.2">
      <c r="E21" s="11">
        <f>LTBL_13211[[#Totals],[個人／事業所数]]/LTBL_13211[[#Totals],[総数／事業所数]]</f>
        <v>0.42685292976329064</v>
      </c>
      <c r="G21" s="11">
        <f>LTBL_13211[[#Totals],[法人／事業所数]]/LTBL_13211[[#Totals],[総数／事業所数]]</f>
        <v>0.56072953046177731</v>
      </c>
      <c r="I21" s="11">
        <f>LTBL_13211[[#Totals],[法人以外の団体／事業所数]]/LTBL_13211[[#Totals],[総数／事業所数]]</f>
        <v>7.7609623593325567E-4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296</v>
      </c>
      <c r="D24" s="8">
        <v>11.49</v>
      </c>
      <c r="E24" s="12">
        <v>85</v>
      </c>
      <c r="F24" s="8">
        <v>7.73</v>
      </c>
      <c r="G24" s="12">
        <v>211</v>
      </c>
      <c r="H24" s="8">
        <v>14.6</v>
      </c>
      <c r="I24" s="12">
        <v>0</v>
      </c>
    </row>
    <row r="25" spans="2:9" ht="15" customHeight="1" x14ac:dyDescent="0.2">
      <c r="B25" t="s">
        <v>104</v>
      </c>
      <c r="C25" s="12">
        <v>255</v>
      </c>
      <c r="D25" s="8">
        <v>9.9</v>
      </c>
      <c r="E25" s="12">
        <v>191</v>
      </c>
      <c r="F25" s="8">
        <v>17.36</v>
      </c>
      <c r="G25" s="12">
        <v>64</v>
      </c>
      <c r="H25" s="8">
        <v>4.43</v>
      </c>
      <c r="I25" s="12">
        <v>0</v>
      </c>
    </row>
    <row r="26" spans="2:9" ht="15" customHeight="1" x14ac:dyDescent="0.2">
      <c r="B26" t="s">
        <v>103</v>
      </c>
      <c r="C26" s="12">
        <v>243</v>
      </c>
      <c r="D26" s="8">
        <v>9.43</v>
      </c>
      <c r="E26" s="12">
        <v>202</v>
      </c>
      <c r="F26" s="8">
        <v>18.36</v>
      </c>
      <c r="G26" s="12">
        <v>40</v>
      </c>
      <c r="H26" s="8">
        <v>2.77</v>
      </c>
      <c r="I26" s="12">
        <v>1</v>
      </c>
    </row>
    <row r="27" spans="2:9" ht="15" customHeight="1" x14ac:dyDescent="0.2">
      <c r="B27" t="s">
        <v>89</v>
      </c>
      <c r="C27" s="12">
        <v>146</v>
      </c>
      <c r="D27" s="8">
        <v>5.67</v>
      </c>
      <c r="E27" s="12">
        <v>34</v>
      </c>
      <c r="F27" s="8">
        <v>3.09</v>
      </c>
      <c r="G27" s="12">
        <v>112</v>
      </c>
      <c r="H27" s="8">
        <v>7.75</v>
      </c>
      <c r="I27" s="12">
        <v>0</v>
      </c>
    </row>
    <row r="28" spans="2:9" ht="15" customHeight="1" x14ac:dyDescent="0.2">
      <c r="B28" t="s">
        <v>105</v>
      </c>
      <c r="C28" s="12">
        <v>144</v>
      </c>
      <c r="D28" s="8">
        <v>5.59</v>
      </c>
      <c r="E28" s="12">
        <v>108</v>
      </c>
      <c r="F28" s="8">
        <v>9.82</v>
      </c>
      <c r="G28" s="12">
        <v>33</v>
      </c>
      <c r="H28" s="8">
        <v>2.2799999999999998</v>
      </c>
      <c r="I28" s="12">
        <v>0</v>
      </c>
    </row>
    <row r="29" spans="2:9" ht="15" customHeight="1" x14ac:dyDescent="0.2">
      <c r="B29" t="s">
        <v>88</v>
      </c>
      <c r="C29" s="12">
        <v>134</v>
      </c>
      <c r="D29" s="8">
        <v>5.2</v>
      </c>
      <c r="E29" s="12">
        <v>17</v>
      </c>
      <c r="F29" s="8">
        <v>1.55</v>
      </c>
      <c r="G29" s="12">
        <v>117</v>
      </c>
      <c r="H29" s="8">
        <v>8.1</v>
      </c>
      <c r="I29" s="12">
        <v>0</v>
      </c>
    </row>
    <row r="30" spans="2:9" ht="15" customHeight="1" x14ac:dyDescent="0.2">
      <c r="B30" t="s">
        <v>98</v>
      </c>
      <c r="C30" s="12">
        <v>134</v>
      </c>
      <c r="D30" s="8">
        <v>5.2</v>
      </c>
      <c r="E30" s="12">
        <v>67</v>
      </c>
      <c r="F30" s="8">
        <v>6.09</v>
      </c>
      <c r="G30" s="12">
        <v>67</v>
      </c>
      <c r="H30" s="8">
        <v>4.6399999999999997</v>
      </c>
      <c r="I30" s="12">
        <v>0</v>
      </c>
    </row>
    <row r="31" spans="2:9" ht="15" customHeight="1" x14ac:dyDescent="0.2">
      <c r="B31" t="s">
        <v>101</v>
      </c>
      <c r="C31" s="12">
        <v>118</v>
      </c>
      <c r="D31" s="8">
        <v>4.58</v>
      </c>
      <c r="E31" s="12">
        <v>52</v>
      </c>
      <c r="F31" s="8">
        <v>4.7300000000000004</v>
      </c>
      <c r="G31" s="12">
        <v>66</v>
      </c>
      <c r="H31" s="8">
        <v>4.57</v>
      </c>
      <c r="I31" s="12">
        <v>0</v>
      </c>
    </row>
    <row r="32" spans="2:9" ht="15" customHeight="1" x14ac:dyDescent="0.2">
      <c r="B32" t="s">
        <v>106</v>
      </c>
      <c r="C32" s="12">
        <v>118</v>
      </c>
      <c r="D32" s="8">
        <v>4.58</v>
      </c>
      <c r="E32" s="12">
        <v>105</v>
      </c>
      <c r="F32" s="8">
        <v>9.5500000000000007</v>
      </c>
      <c r="G32" s="12">
        <v>13</v>
      </c>
      <c r="H32" s="8">
        <v>0.9</v>
      </c>
      <c r="I32" s="12">
        <v>0</v>
      </c>
    </row>
    <row r="33" spans="2:9" ht="15" customHeight="1" x14ac:dyDescent="0.2">
      <c r="B33" t="s">
        <v>96</v>
      </c>
      <c r="C33" s="12">
        <v>107</v>
      </c>
      <c r="D33" s="8">
        <v>4.1500000000000004</v>
      </c>
      <c r="E33" s="12">
        <v>61</v>
      </c>
      <c r="F33" s="8">
        <v>5.55</v>
      </c>
      <c r="G33" s="12">
        <v>46</v>
      </c>
      <c r="H33" s="8">
        <v>3.18</v>
      </c>
      <c r="I33" s="12">
        <v>0</v>
      </c>
    </row>
    <row r="34" spans="2:9" ht="15" customHeight="1" x14ac:dyDescent="0.2">
      <c r="B34" t="s">
        <v>90</v>
      </c>
      <c r="C34" s="12">
        <v>88</v>
      </c>
      <c r="D34" s="8">
        <v>3.41</v>
      </c>
      <c r="E34" s="12">
        <v>9</v>
      </c>
      <c r="F34" s="8">
        <v>0.82</v>
      </c>
      <c r="G34" s="12">
        <v>79</v>
      </c>
      <c r="H34" s="8">
        <v>5.47</v>
      </c>
      <c r="I34" s="12">
        <v>0</v>
      </c>
    </row>
    <row r="35" spans="2:9" ht="15" customHeight="1" x14ac:dyDescent="0.2">
      <c r="B35" t="s">
        <v>97</v>
      </c>
      <c r="C35" s="12">
        <v>78</v>
      </c>
      <c r="D35" s="8">
        <v>3.03</v>
      </c>
      <c r="E35" s="12">
        <v>38</v>
      </c>
      <c r="F35" s="8">
        <v>3.45</v>
      </c>
      <c r="G35" s="12">
        <v>40</v>
      </c>
      <c r="H35" s="8">
        <v>2.77</v>
      </c>
      <c r="I35" s="12">
        <v>0</v>
      </c>
    </row>
    <row r="36" spans="2:9" ht="15" customHeight="1" x14ac:dyDescent="0.2">
      <c r="B36" t="s">
        <v>102</v>
      </c>
      <c r="C36" s="12">
        <v>71</v>
      </c>
      <c r="D36" s="8">
        <v>2.76</v>
      </c>
      <c r="E36" s="12">
        <v>15</v>
      </c>
      <c r="F36" s="8">
        <v>1.36</v>
      </c>
      <c r="G36" s="12">
        <v>54</v>
      </c>
      <c r="H36" s="8">
        <v>3.74</v>
      </c>
      <c r="I36" s="12">
        <v>1</v>
      </c>
    </row>
    <row r="37" spans="2:9" ht="15" customHeight="1" x14ac:dyDescent="0.2">
      <c r="B37" t="s">
        <v>95</v>
      </c>
      <c r="C37" s="12">
        <v>48</v>
      </c>
      <c r="D37" s="8">
        <v>1.86</v>
      </c>
      <c r="E37" s="12">
        <v>30</v>
      </c>
      <c r="F37" s="8">
        <v>2.73</v>
      </c>
      <c r="G37" s="12">
        <v>18</v>
      </c>
      <c r="H37" s="8">
        <v>1.25</v>
      </c>
      <c r="I37" s="12">
        <v>0</v>
      </c>
    </row>
    <row r="38" spans="2:9" ht="15" customHeight="1" x14ac:dyDescent="0.2">
      <c r="B38" t="s">
        <v>132</v>
      </c>
      <c r="C38" s="12">
        <v>40</v>
      </c>
      <c r="D38" s="8">
        <v>1.55</v>
      </c>
      <c r="E38" s="12">
        <v>1</v>
      </c>
      <c r="F38" s="8">
        <v>0.09</v>
      </c>
      <c r="G38" s="12">
        <v>32</v>
      </c>
      <c r="H38" s="8">
        <v>2.21</v>
      </c>
      <c r="I38" s="12">
        <v>0</v>
      </c>
    </row>
    <row r="39" spans="2:9" ht="15" customHeight="1" x14ac:dyDescent="0.2">
      <c r="B39" t="s">
        <v>115</v>
      </c>
      <c r="C39" s="12">
        <v>39</v>
      </c>
      <c r="D39" s="8">
        <v>1.51</v>
      </c>
      <c r="E39" s="12">
        <v>16</v>
      </c>
      <c r="F39" s="8">
        <v>1.45</v>
      </c>
      <c r="G39" s="12">
        <v>23</v>
      </c>
      <c r="H39" s="8">
        <v>1.59</v>
      </c>
      <c r="I39" s="12">
        <v>0</v>
      </c>
    </row>
    <row r="40" spans="2:9" ht="15" customHeight="1" x14ac:dyDescent="0.2">
      <c r="B40" t="s">
        <v>93</v>
      </c>
      <c r="C40" s="12">
        <v>36</v>
      </c>
      <c r="D40" s="8">
        <v>1.4</v>
      </c>
      <c r="E40" s="12">
        <v>3</v>
      </c>
      <c r="F40" s="8">
        <v>0.27</v>
      </c>
      <c r="G40" s="12">
        <v>33</v>
      </c>
      <c r="H40" s="8">
        <v>2.2799999999999998</v>
      </c>
      <c r="I40" s="12">
        <v>0</v>
      </c>
    </row>
    <row r="41" spans="2:9" ht="15" customHeight="1" x14ac:dyDescent="0.2">
      <c r="B41" t="s">
        <v>91</v>
      </c>
      <c r="C41" s="12">
        <v>32</v>
      </c>
      <c r="D41" s="8">
        <v>1.24</v>
      </c>
      <c r="E41" s="12">
        <v>0</v>
      </c>
      <c r="F41" s="8">
        <v>0</v>
      </c>
      <c r="G41" s="12">
        <v>32</v>
      </c>
      <c r="H41" s="8">
        <v>2.21</v>
      </c>
      <c r="I41" s="12">
        <v>0</v>
      </c>
    </row>
    <row r="42" spans="2:9" ht="15" customHeight="1" x14ac:dyDescent="0.2">
      <c r="B42" t="s">
        <v>99</v>
      </c>
      <c r="C42" s="12">
        <v>32</v>
      </c>
      <c r="D42" s="8">
        <v>1.24</v>
      </c>
      <c r="E42" s="12">
        <v>5</v>
      </c>
      <c r="F42" s="8">
        <v>0.45</v>
      </c>
      <c r="G42" s="12">
        <v>27</v>
      </c>
      <c r="H42" s="8">
        <v>1.87</v>
      </c>
      <c r="I42" s="12">
        <v>0</v>
      </c>
    </row>
    <row r="43" spans="2:9" ht="15" customHeight="1" x14ac:dyDescent="0.2">
      <c r="B43" t="s">
        <v>92</v>
      </c>
      <c r="C43" s="12">
        <v>28</v>
      </c>
      <c r="D43" s="8">
        <v>1.0900000000000001</v>
      </c>
      <c r="E43" s="12">
        <v>5</v>
      </c>
      <c r="F43" s="8">
        <v>0.45</v>
      </c>
      <c r="G43" s="12">
        <v>23</v>
      </c>
      <c r="H43" s="8">
        <v>1.59</v>
      </c>
      <c r="I43" s="12">
        <v>0</v>
      </c>
    </row>
    <row r="44" spans="2:9" ht="15" customHeight="1" x14ac:dyDescent="0.2">
      <c r="B44" t="s">
        <v>107</v>
      </c>
      <c r="C44" s="12">
        <v>28</v>
      </c>
      <c r="D44" s="8">
        <v>1.0900000000000001</v>
      </c>
      <c r="E44" s="12">
        <v>2</v>
      </c>
      <c r="F44" s="8">
        <v>0.18</v>
      </c>
      <c r="G44" s="12">
        <v>26</v>
      </c>
      <c r="H44" s="8">
        <v>1.8</v>
      </c>
      <c r="I44" s="12">
        <v>0</v>
      </c>
    </row>
    <row r="47" spans="2:9" ht="33" customHeight="1" x14ac:dyDescent="0.2">
      <c r="B47" t="s">
        <v>282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  <c r="I47" s="10" t="s">
        <v>87</v>
      </c>
    </row>
    <row r="48" spans="2:9" ht="15" customHeight="1" x14ac:dyDescent="0.2">
      <c r="B48" t="s">
        <v>162</v>
      </c>
      <c r="C48" s="12">
        <v>166</v>
      </c>
      <c r="D48" s="8">
        <v>6.44</v>
      </c>
      <c r="E48" s="12">
        <v>76</v>
      </c>
      <c r="F48" s="8">
        <v>6.91</v>
      </c>
      <c r="G48" s="12">
        <v>90</v>
      </c>
      <c r="H48" s="8">
        <v>6.23</v>
      </c>
      <c r="I48" s="12">
        <v>0</v>
      </c>
    </row>
    <row r="49" spans="2:9" ht="15" customHeight="1" x14ac:dyDescent="0.2">
      <c r="B49" t="s">
        <v>172</v>
      </c>
      <c r="C49" s="12">
        <v>114</v>
      </c>
      <c r="D49" s="8">
        <v>4.42</v>
      </c>
      <c r="E49" s="12">
        <v>86</v>
      </c>
      <c r="F49" s="8">
        <v>7.82</v>
      </c>
      <c r="G49" s="12">
        <v>28</v>
      </c>
      <c r="H49" s="8">
        <v>1.94</v>
      </c>
      <c r="I49" s="12">
        <v>0</v>
      </c>
    </row>
    <row r="50" spans="2:9" ht="15" customHeight="1" x14ac:dyDescent="0.2">
      <c r="B50" t="s">
        <v>173</v>
      </c>
      <c r="C50" s="12">
        <v>93</v>
      </c>
      <c r="D50" s="8">
        <v>3.61</v>
      </c>
      <c r="E50" s="12">
        <v>76</v>
      </c>
      <c r="F50" s="8">
        <v>6.91</v>
      </c>
      <c r="G50" s="12">
        <v>17</v>
      </c>
      <c r="H50" s="8">
        <v>1.18</v>
      </c>
      <c r="I50" s="12">
        <v>0</v>
      </c>
    </row>
    <row r="51" spans="2:9" ht="15" customHeight="1" x14ac:dyDescent="0.2">
      <c r="B51" t="s">
        <v>171</v>
      </c>
      <c r="C51" s="12">
        <v>88</v>
      </c>
      <c r="D51" s="8">
        <v>3.41</v>
      </c>
      <c r="E51" s="12">
        <v>81</v>
      </c>
      <c r="F51" s="8">
        <v>7.36</v>
      </c>
      <c r="G51" s="12">
        <v>7</v>
      </c>
      <c r="H51" s="8">
        <v>0.48</v>
      </c>
      <c r="I51" s="12">
        <v>0</v>
      </c>
    </row>
    <row r="52" spans="2:9" ht="15" customHeight="1" x14ac:dyDescent="0.2">
      <c r="B52" t="s">
        <v>163</v>
      </c>
      <c r="C52" s="12">
        <v>79</v>
      </c>
      <c r="D52" s="8">
        <v>3.07</v>
      </c>
      <c r="E52" s="12">
        <v>1</v>
      </c>
      <c r="F52" s="8">
        <v>0.09</v>
      </c>
      <c r="G52" s="12">
        <v>78</v>
      </c>
      <c r="H52" s="8">
        <v>5.4</v>
      </c>
      <c r="I52" s="12">
        <v>0</v>
      </c>
    </row>
    <row r="53" spans="2:9" ht="15" customHeight="1" x14ac:dyDescent="0.2">
      <c r="B53" t="s">
        <v>175</v>
      </c>
      <c r="C53" s="12">
        <v>76</v>
      </c>
      <c r="D53" s="8">
        <v>2.95</v>
      </c>
      <c r="E53" s="12">
        <v>66</v>
      </c>
      <c r="F53" s="8">
        <v>6</v>
      </c>
      <c r="G53" s="12">
        <v>10</v>
      </c>
      <c r="H53" s="8">
        <v>0.69</v>
      </c>
      <c r="I53" s="12">
        <v>0</v>
      </c>
    </row>
    <row r="54" spans="2:9" ht="15" customHeight="1" x14ac:dyDescent="0.2">
      <c r="B54" t="s">
        <v>169</v>
      </c>
      <c r="C54" s="12">
        <v>73</v>
      </c>
      <c r="D54" s="8">
        <v>2.83</v>
      </c>
      <c r="E54" s="12">
        <v>63</v>
      </c>
      <c r="F54" s="8">
        <v>5.73</v>
      </c>
      <c r="G54" s="12">
        <v>10</v>
      </c>
      <c r="H54" s="8">
        <v>0.69</v>
      </c>
      <c r="I54" s="12">
        <v>0</v>
      </c>
    </row>
    <row r="55" spans="2:9" ht="15" customHeight="1" x14ac:dyDescent="0.2">
      <c r="B55" t="s">
        <v>168</v>
      </c>
      <c r="C55" s="12">
        <v>63</v>
      </c>
      <c r="D55" s="8">
        <v>2.44</v>
      </c>
      <c r="E55" s="12">
        <v>53</v>
      </c>
      <c r="F55" s="8">
        <v>4.82</v>
      </c>
      <c r="G55" s="12">
        <v>10</v>
      </c>
      <c r="H55" s="8">
        <v>0.69</v>
      </c>
      <c r="I55" s="12">
        <v>0</v>
      </c>
    </row>
    <row r="56" spans="2:9" ht="15" customHeight="1" x14ac:dyDescent="0.2">
      <c r="B56" t="s">
        <v>158</v>
      </c>
      <c r="C56" s="12">
        <v>48</v>
      </c>
      <c r="D56" s="8">
        <v>1.86</v>
      </c>
      <c r="E56" s="12">
        <v>21</v>
      </c>
      <c r="F56" s="8">
        <v>1.91</v>
      </c>
      <c r="G56" s="12">
        <v>27</v>
      </c>
      <c r="H56" s="8">
        <v>1.87</v>
      </c>
      <c r="I56" s="12">
        <v>0</v>
      </c>
    </row>
    <row r="57" spans="2:9" ht="15" customHeight="1" x14ac:dyDescent="0.2">
      <c r="B57" t="s">
        <v>206</v>
      </c>
      <c r="C57" s="12">
        <v>46</v>
      </c>
      <c r="D57" s="8">
        <v>1.79</v>
      </c>
      <c r="E57" s="12">
        <v>2</v>
      </c>
      <c r="F57" s="8">
        <v>0.18</v>
      </c>
      <c r="G57" s="12">
        <v>44</v>
      </c>
      <c r="H57" s="8">
        <v>3.04</v>
      </c>
      <c r="I57" s="12">
        <v>0</v>
      </c>
    </row>
    <row r="58" spans="2:9" ht="15" customHeight="1" x14ac:dyDescent="0.2">
      <c r="B58" t="s">
        <v>201</v>
      </c>
      <c r="C58" s="12">
        <v>45</v>
      </c>
      <c r="D58" s="8">
        <v>1.75</v>
      </c>
      <c r="E58" s="12">
        <v>4</v>
      </c>
      <c r="F58" s="8">
        <v>0.36</v>
      </c>
      <c r="G58" s="12">
        <v>41</v>
      </c>
      <c r="H58" s="8">
        <v>2.84</v>
      </c>
      <c r="I58" s="12">
        <v>0</v>
      </c>
    </row>
    <row r="59" spans="2:9" ht="15" customHeight="1" x14ac:dyDescent="0.2">
      <c r="B59" t="s">
        <v>225</v>
      </c>
      <c r="C59" s="12">
        <v>44</v>
      </c>
      <c r="D59" s="8">
        <v>1.71</v>
      </c>
      <c r="E59" s="12">
        <v>31</v>
      </c>
      <c r="F59" s="8">
        <v>2.82</v>
      </c>
      <c r="G59" s="12">
        <v>13</v>
      </c>
      <c r="H59" s="8">
        <v>0.9</v>
      </c>
      <c r="I59" s="12">
        <v>0</v>
      </c>
    </row>
    <row r="60" spans="2:9" ht="15" customHeight="1" x14ac:dyDescent="0.2">
      <c r="B60" t="s">
        <v>159</v>
      </c>
      <c r="C60" s="12">
        <v>43</v>
      </c>
      <c r="D60" s="8">
        <v>1.67</v>
      </c>
      <c r="E60" s="12">
        <v>25</v>
      </c>
      <c r="F60" s="8">
        <v>2.27</v>
      </c>
      <c r="G60" s="12">
        <v>18</v>
      </c>
      <c r="H60" s="8">
        <v>1.25</v>
      </c>
      <c r="I60" s="12">
        <v>0</v>
      </c>
    </row>
    <row r="61" spans="2:9" ht="15" customHeight="1" x14ac:dyDescent="0.2">
      <c r="B61" t="s">
        <v>221</v>
      </c>
      <c r="C61" s="12">
        <v>39</v>
      </c>
      <c r="D61" s="8">
        <v>1.51</v>
      </c>
      <c r="E61" s="12">
        <v>12</v>
      </c>
      <c r="F61" s="8">
        <v>1.0900000000000001</v>
      </c>
      <c r="G61" s="12">
        <v>27</v>
      </c>
      <c r="H61" s="8">
        <v>1.87</v>
      </c>
      <c r="I61" s="12">
        <v>0</v>
      </c>
    </row>
    <row r="62" spans="2:9" ht="15" customHeight="1" x14ac:dyDescent="0.2">
      <c r="B62" t="s">
        <v>161</v>
      </c>
      <c r="C62" s="12">
        <v>39</v>
      </c>
      <c r="D62" s="8">
        <v>1.51</v>
      </c>
      <c r="E62" s="12">
        <v>2</v>
      </c>
      <c r="F62" s="8">
        <v>0.18</v>
      </c>
      <c r="G62" s="12">
        <v>37</v>
      </c>
      <c r="H62" s="8">
        <v>2.56</v>
      </c>
      <c r="I62" s="12">
        <v>0</v>
      </c>
    </row>
    <row r="63" spans="2:9" ht="15" customHeight="1" x14ac:dyDescent="0.2">
      <c r="B63" t="s">
        <v>167</v>
      </c>
      <c r="C63" s="12">
        <v>39</v>
      </c>
      <c r="D63" s="8">
        <v>1.51</v>
      </c>
      <c r="E63" s="12">
        <v>7</v>
      </c>
      <c r="F63" s="8">
        <v>0.64</v>
      </c>
      <c r="G63" s="12">
        <v>30</v>
      </c>
      <c r="H63" s="8">
        <v>2.08</v>
      </c>
      <c r="I63" s="12">
        <v>1</v>
      </c>
    </row>
    <row r="64" spans="2:9" ht="15" customHeight="1" x14ac:dyDescent="0.2">
      <c r="B64" t="s">
        <v>197</v>
      </c>
      <c r="C64" s="12">
        <v>38</v>
      </c>
      <c r="D64" s="8">
        <v>1.47</v>
      </c>
      <c r="E64" s="12">
        <v>17</v>
      </c>
      <c r="F64" s="8">
        <v>1.55</v>
      </c>
      <c r="G64" s="12">
        <v>21</v>
      </c>
      <c r="H64" s="8">
        <v>1.45</v>
      </c>
      <c r="I64" s="12">
        <v>0</v>
      </c>
    </row>
    <row r="65" spans="2:9" ht="15" customHeight="1" x14ac:dyDescent="0.2">
      <c r="B65" t="s">
        <v>166</v>
      </c>
      <c r="C65" s="12">
        <v>37</v>
      </c>
      <c r="D65" s="8">
        <v>1.44</v>
      </c>
      <c r="E65" s="12">
        <v>2</v>
      </c>
      <c r="F65" s="8">
        <v>0.18</v>
      </c>
      <c r="G65" s="12">
        <v>35</v>
      </c>
      <c r="H65" s="8">
        <v>2.42</v>
      </c>
      <c r="I65" s="12">
        <v>0</v>
      </c>
    </row>
    <row r="66" spans="2:9" ht="15" customHeight="1" x14ac:dyDescent="0.2">
      <c r="B66" t="s">
        <v>174</v>
      </c>
      <c r="C66" s="12">
        <v>36</v>
      </c>
      <c r="D66" s="8">
        <v>1.4</v>
      </c>
      <c r="E66" s="12">
        <v>36</v>
      </c>
      <c r="F66" s="8">
        <v>3.27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195</v>
      </c>
      <c r="C67" s="12">
        <v>35</v>
      </c>
      <c r="D67" s="8">
        <v>1.36</v>
      </c>
      <c r="E67" s="12">
        <v>8</v>
      </c>
      <c r="F67" s="8">
        <v>0.73</v>
      </c>
      <c r="G67" s="12">
        <v>27</v>
      </c>
      <c r="H67" s="8">
        <v>1.87</v>
      </c>
      <c r="I67" s="12">
        <v>0</v>
      </c>
    </row>
    <row r="68" spans="2:9" ht="15" customHeight="1" x14ac:dyDescent="0.2">
      <c r="B68" t="s">
        <v>192</v>
      </c>
      <c r="C68" s="12">
        <v>35</v>
      </c>
      <c r="D68" s="8">
        <v>1.36</v>
      </c>
      <c r="E68" s="12">
        <v>5</v>
      </c>
      <c r="F68" s="8">
        <v>0.45</v>
      </c>
      <c r="G68" s="12">
        <v>30</v>
      </c>
      <c r="H68" s="8">
        <v>2.08</v>
      </c>
      <c r="I68" s="12">
        <v>0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E52E-0FFC-4193-A541-99EF8161C6D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308</v>
      </c>
      <c r="D6" s="8">
        <v>12.15</v>
      </c>
      <c r="E6" s="12">
        <v>68</v>
      </c>
      <c r="F6" s="8">
        <v>5.78</v>
      </c>
      <c r="G6" s="12">
        <v>240</v>
      </c>
      <c r="H6" s="8">
        <v>17.78</v>
      </c>
      <c r="I6" s="12">
        <v>0</v>
      </c>
    </row>
    <row r="7" spans="2:9" ht="15" customHeight="1" x14ac:dyDescent="0.2">
      <c r="B7" t="s">
        <v>67</v>
      </c>
      <c r="C7" s="12">
        <v>110</v>
      </c>
      <c r="D7" s="8">
        <v>4.34</v>
      </c>
      <c r="E7" s="12">
        <v>22</v>
      </c>
      <c r="F7" s="8">
        <v>1.87</v>
      </c>
      <c r="G7" s="12">
        <v>88</v>
      </c>
      <c r="H7" s="8">
        <v>6.52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0.22</v>
      </c>
      <c r="I8" s="12">
        <v>0</v>
      </c>
    </row>
    <row r="9" spans="2:9" ht="15" customHeight="1" x14ac:dyDescent="0.2">
      <c r="B9" t="s">
        <v>69</v>
      </c>
      <c r="C9" s="12">
        <v>72</v>
      </c>
      <c r="D9" s="8">
        <v>2.84</v>
      </c>
      <c r="E9" s="12">
        <v>4</v>
      </c>
      <c r="F9" s="8">
        <v>0.34</v>
      </c>
      <c r="G9" s="12">
        <v>68</v>
      </c>
      <c r="H9" s="8">
        <v>5.04</v>
      </c>
      <c r="I9" s="12">
        <v>0</v>
      </c>
    </row>
    <row r="10" spans="2:9" ht="15" customHeight="1" x14ac:dyDescent="0.2">
      <c r="B10" t="s">
        <v>70</v>
      </c>
      <c r="C10" s="12">
        <v>27</v>
      </c>
      <c r="D10" s="8">
        <v>1.07</v>
      </c>
      <c r="E10" s="12">
        <v>15</v>
      </c>
      <c r="F10" s="8">
        <v>1.28</v>
      </c>
      <c r="G10" s="12">
        <v>12</v>
      </c>
      <c r="H10" s="8">
        <v>0.89</v>
      </c>
      <c r="I10" s="12">
        <v>0</v>
      </c>
    </row>
    <row r="11" spans="2:9" ht="15" customHeight="1" x14ac:dyDescent="0.2">
      <c r="B11" t="s">
        <v>71</v>
      </c>
      <c r="C11" s="12">
        <v>403</v>
      </c>
      <c r="D11" s="8">
        <v>15.9</v>
      </c>
      <c r="E11" s="12">
        <v>143</v>
      </c>
      <c r="F11" s="8">
        <v>12.16</v>
      </c>
      <c r="G11" s="12">
        <v>258</v>
      </c>
      <c r="H11" s="8">
        <v>19.11</v>
      </c>
      <c r="I11" s="12">
        <v>2</v>
      </c>
    </row>
    <row r="12" spans="2:9" ht="15" customHeight="1" x14ac:dyDescent="0.2">
      <c r="B12" t="s">
        <v>72</v>
      </c>
      <c r="C12" s="12">
        <v>23</v>
      </c>
      <c r="D12" s="8">
        <v>0.91</v>
      </c>
      <c r="E12" s="12">
        <v>3</v>
      </c>
      <c r="F12" s="8">
        <v>0.26</v>
      </c>
      <c r="G12" s="12">
        <v>20</v>
      </c>
      <c r="H12" s="8">
        <v>1.48</v>
      </c>
      <c r="I12" s="12">
        <v>0</v>
      </c>
    </row>
    <row r="13" spans="2:9" ht="15" customHeight="1" x14ac:dyDescent="0.2">
      <c r="B13" t="s">
        <v>73</v>
      </c>
      <c r="C13" s="12">
        <v>436</v>
      </c>
      <c r="D13" s="8">
        <v>17.2</v>
      </c>
      <c r="E13" s="12">
        <v>213</v>
      </c>
      <c r="F13" s="8">
        <v>18.11</v>
      </c>
      <c r="G13" s="12">
        <v>223</v>
      </c>
      <c r="H13" s="8">
        <v>16.52</v>
      </c>
      <c r="I13" s="12">
        <v>0</v>
      </c>
    </row>
    <row r="14" spans="2:9" ht="15" customHeight="1" x14ac:dyDescent="0.2">
      <c r="B14" t="s">
        <v>74</v>
      </c>
      <c r="C14" s="12">
        <v>218</v>
      </c>
      <c r="D14" s="8">
        <v>8.6</v>
      </c>
      <c r="E14" s="12">
        <v>91</v>
      </c>
      <c r="F14" s="8">
        <v>7.74</v>
      </c>
      <c r="G14" s="12">
        <v>127</v>
      </c>
      <c r="H14" s="8">
        <v>9.41</v>
      </c>
      <c r="I14" s="12">
        <v>0</v>
      </c>
    </row>
    <row r="15" spans="2:9" ht="15" customHeight="1" x14ac:dyDescent="0.2">
      <c r="B15" t="s">
        <v>75</v>
      </c>
      <c r="C15" s="12">
        <v>226</v>
      </c>
      <c r="D15" s="8">
        <v>8.92</v>
      </c>
      <c r="E15" s="12">
        <v>165</v>
      </c>
      <c r="F15" s="8">
        <v>14.03</v>
      </c>
      <c r="G15" s="12">
        <v>60</v>
      </c>
      <c r="H15" s="8">
        <v>4.4400000000000004</v>
      </c>
      <c r="I15" s="12">
        <v>1</v>
      </c>
    </row>
    <row r="16" spans="2:9" ht="15" customHeight="1" x14ac:dyDescent="0.2">
      <c r="B16" t="s">
        <v>76</v>
      </c>
      <c r="C16" s="12">
        <v>276</v>
      </c>
      <c r="D16" s="8">
        <v>10.89</v>
      </c>
      <c r="E16" s="12">
        <v>194</v>
      </c>
      <c r="F16" s="8">
        <v>16.5</v>
      </c>
      <c r="G16" s="12">
        <v>82</v>
      </c>
      <c r="H16" s="8">
        <v>6.07</v>
      </c>
      <c r="I16" s="12">
        <v>0</v>
      </c>
    </row>
    <row r="17" spans="2:9" ht="15" customHeight="1" x14ac:dyDescent="0.2">
      <c r="B17" t="s">
        <v>77</v>
      </c>
      <c r="C17" s="12">
        <v>170</v>
      </c>
      <c r="D17" s="8">
        <v>6.71</v>
      </c>
      <c r="E17" s="12">
        <v>127</v>
      </c>
      <c r="F17" s="8">
        <v>10.8</v>
      </c>
      <c r="G17" s="12">
        <v>38</v>
      </c>
      <c r="H17" s="8">
        <v>2.81</v>
      </c>
      <c r="I17" s="12">
        <v>0</v>
      </c>
    </row>
    <row r="18" spans="2:9" ht="15" customHeight="1" x14ac:dyDescent="0.2">
      <c r="B18" t="s">
        <v>78</v>
      </c>
      <c r="C18" s="12">
        <v>174</v>
      </c>
      <c r="D18" s="8">
        <v>6.86</v>
      </c>
      <c r="E18" s="12">
        <v>108</v>
      </c>
      <c r="F18" s="8">
        <v>9.18</v>
      </c>
      <c r="G18" s="12">
        <v>65</v>
      </c>
      <c r="H18" s="8">
        <v>4.8099999999999996</v>
      </c>
      <c r="I18" s="12">
        <v>0</v>
      </c>
    </row>
    <row r="19" spans="2:9" ht="15" customHeight="1" x14ac:dyDescent="0.2">
      <c r="B19" t="s">
        <v>79</v>
      </c>
      <c r="C19" s="12">
        <v>89</v>
      </c>
      <c r="D19" s="8">
        <v>3.51</v>
      </c>
      <c r="E19" s="12">
        <v>23</v>
      </c>
      <c r="F19" s="8">
        <v>1.96</v>
      </c>
      <c r="G19" s="12">
        <v>66</v>
      </c>
      <c r="H19" s="8">
        <v>4.8899999999999997</v>
      </c>
      <c r="I19" s="12">
        <v>0</v>
      </c>
    </row>
    <row r="20" spans="2:9" ht="15" customHeight="1" x14ac:dyDescent="0.2">
      <c r="B20" s="9" t="s">
        <v>280</v>
      </c>
      <c r="C20" s="12">
        <f>SUM(LTBL_13212[総数／事業所数])</f>
        <v>2535</v>
      </c>
      <c r="E20" s="12">
        <f>SUBTOTAL(109,LTBL_13212[個人／事業所数])</f>
        <v>1176</v>
      </c>
      <c r="G20" s="12">
        <f>SUBTOTAL(109,LTBL_13212[法人／事業所数])</f>
        <v>1350</v>
      </c>
      <c r="I20" s="12">
        <f>SUBTOTAL(109,LTBL_13212[法人以外の団体／事業所数])</f>
        <v>3</v>
      </c>
    </row>
    <row r="21" spans="2:9" ht="15" customHeight="1" x14ac:dyDescent="0.2">
      <c r="E21" s="11">
        <f>LTBL_13212[[#Totals],[個人／事業所数]]/LTBL_13212[[#Totals],[総数／事業所数]]</f>
        <v>0.46390532544378699</v>
      </c>
      <c r="G21" s="11">
        <f>LTBL_13212[[#Totals],[法人／事業所数]]/LTBL_13212[[#Totals],[総数／事業所数]]</f>
        <v>0.53254437869822491</v>
      </c>
      <c r="I21" s="11">
        <f>LTBL_13212[[#Totals],[法人以外の団体／事業所数]]/LTBL_13212[[#Totals],[総数／事業所数]]</f>
        <v>1.1834319526627219E-3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393</v>
      </c>
      <c r="D24" s="8">
        <v>15.5</v>
      </c>
      <c r="E24" s="12">
        <v>209</v>
      </c>
      <c r="F24" s="8">
        <v>17.77</v>
      </c>
      <c r="G24" s="12">
        <v>184</v>
      </c>
      <c r="H24" s="8">
        <v>13.63</v>
      </c>
      <c r="I24" s="12">
        <v>0</v>
      </c>
    </row>
    <row r="25" spans="2:9" ht="15" customHeight="1" x14ac:dyDescent="0.2">
      <c r="B25" t="s">
        <v>104</v>
      </c>
      <c r="C25" s="12">
        <v>221</v>
      </c>
      <c r="D25" s="8">
        <v>8.7200000000000006</v>
      </c>
      <c r="E25" s="12">
        <v>170</v>
      </c>
      <c r="F25" s="8">
        <v>14.46</v>
      </c>
      <c r="G25" s="12">
        <v>51</v>
      </c>
      <c r="H25" s="8">
        <v>3.78</v>
      </c>
      <c r="I25" s="12">
        <v>0</v>
      </c>
    </row>
    <row r="26" spans="2:9" ht="15" customHeight="1" x14ac:dyDescent="0.2">
      <c r="B26" t="s">
        <v>103</v>
      </c>
      <c r="C26" s="12">
        <v>195</v>
      </c>
      <c r="D26" s="8">
        <v>7.69</v>
      </c>
      <c r="E26" s="12">
        <v>160</v>
      </c>
      <c r="F26" s="8">
        <v>13.61</v>
      </c>
      <c r="G26" s="12">
        <v>34</v>
      </c>
      <c r="H26" s="8">
        <v>2.52</v>
      </c>
      <c r="I26" s="12">
        <v>1</v>
      </c>
    </row>
    <row r="27" spans="2:9" ht="15" customHeight="1" x14ac:dyDescent="0.2">
      <c r="B27" t="s">
        <v>105</v>
      </c>
      <c r="C27" s="12">
        <v>170</v>
      </c>
      <c r="D27" s="8">
        <v>6.71</v>
      </c>
      <c r="E27" s="12">
        <v>127</v>
      </c>
      <c r="F27" s="8">
        <v>10.8</v>
      </c>
      <c r="G27" s="12">
        <v>38</v>
      </c>
      <c r="H27" s="8">
        <v>2.81</v>
      </c>
      <c r="I27" s="12">
        <v>0</v>
      </c>
    </row>
    <row r="28" spans="2:9" ht="15" customHeight="1" x14ac:dyDescent="0.2">
      <c r="B28" t="s">
        <v>106</v>
      </c>
      <c r="C28" s="12">
        <v>129</v>
      </c>
      <c r="D28" s="8">
        <v>5.09</v>
      </c>
      <c r="E28" s="12">
        <v>108</v>
      </c>
      <c r="F28" s="8">
        <v>9.18</v>
      </c>
      <c r="G28" s="12">
        <v>21</v>
      </c>
      <c r="H28" s="8">
        <v>1.56</v>
      </c>
      <c r="I28" s="12">
        <v>0</v>
      </c>
    </row>
    <row r="29" spans="2:9" ht="15" customHeight="1" x14ac:dyDescent="0.2">
      <c r="B29" t="s">
        <v>101</v>
      </c>
      <c r="C29" s="12">
        <v>121</v>
      </c>
      <c r="D29" s="8">
        <v>4.7699999999999996</v>
      </c>
      <c r="E29" s="12">
        <v>65</v>
      </c>
      <c r="F29" s="8">
        <v>5.53</v>
      </c>
      <c r="G29" s="12">
        <v>56</v>
      </c>
      <c r="H29" s="8">
        <v>4.1500000000000004</v>
      </c>
      <c r="I29" s="12">
        <v>0</v>
      </c>
    </row>
    <row r="30" spans="2:9" ht="15" customHeight="1" x14ac:dyDescent="0.2">
      <c r="B30" t="s">
        <v>89</v>
      </c>
      <c r="C30" s="12">
        <v>118</v>
      </c>
      <c r="D30" s="8">
        <v>4.6500000000000004</v>
      </c>
      <c r="E30" s="12">
        <v>30</v>
      </c>
      <c r="F30" s="8">
        <v>2.5499999999999998</v>
      </c>
      <c r="G30" s="12">
        <v>88</v>
      </c>
      <c r="H30" s="8">
        <v>6.52</v>
      </c>
      <c r="I30" s="12">
        <v>0</v>
      </c>
    </row>
    <row r="31" spans="2:9" ht="15" customHeight="1" x14ac:dyDescent="0.2">
      <c r="B31" t="s">
        <v>88</v>
      </c>
      <c r="C31" s="12">
        <v>115</v>
      </c>
      <c r="D31" s="8">
        <v>4.54</v>
      </c>
      <c r="E31" s="12">
        <v>23</v>
      </c>
      <c r="F31" s="8">
        <v>1.96</v>
      </c>
      <c r="G31" s="12">
        <v>92</v>
      </c>
      <c r="H31" s="8">
        <v>6.81</v>
      </c>
      <c r="I31" s="12">
        <v>0</v>
      </c>
    </row>
    <row r="32" spans="2:9" ht="15" customHeight="1" x14ac:dyDescent="0.2">
      <c r="B32" t="s">
        <v>98</v>
      </c>
      <c r="C32" s="12">
        <v>107</v>
      </c>
      <c r="D32" s="8">
        <v>4.22</v>
      </c>
      <c r="E32" s="12">
        <v>47</v>
      </c>
      <c r="F32" s="8">
        <v>4</v>
      </c>
      <c r="G32" s="12">
        <v>60</v>
      </c>
      <c r="H32" s="8">
        <v>4.4400000000000004</v>
      </c>
      <c r="I32" s="12">
        <v>0</v>
      </c>
    </row>
    <row r="33" spans="2:9" ht="15" customHeight="1" x14ac:dyDescent="0.2">
      <c r="B33" t="s">
        <v>102</v>
      </c>
      <c r="C33" s="12">
        <v>86</v>
      </c>
      <c r="D33" s="8">
        <v>3.39</v>
      </c>
      <c r="E33" s="12">
        <v>26</v>
      </c>
      <c r="F33" s="8">
        <v>2.21</v>
      </c>
      <c r="G33" s="12">
        <v>60</v>
      </c>
      <c r="H33" s="8">
        <v>4.4400000000000004</v>
      </c>
      <c r="I33" s="12">
        <v>0</v>
      </c>
    </row>
    <row r="34" spans="2:9" ht="15" customHeight="1" x14ac:dyDescent="0.2">
      <c r="B34" t="s">
        <v>90</v>
      </c>
      <c r="C34" s="12">
        <v>75</v>
      </c>
      <c r="D34" s="8">
        <v>2.96</v>
      </c>
      <c r="E34" s="12">
        <v>15</v>
      </c>
      <c r="F34" s="8">
        <v>1.28</v>
      </c>
      <c r="G34" s="12">
        <v>60</v>
      </c>
      <c r="H34" s="8">
        <v>4.4400000000000004</v>
      </c>
      <c r="I34" s="12">
        <v>0</v>
      </c>
    </row>
    <row r="35" spans="2:9" ht="15" customHeight="1" x14ac:dyDescent="0.2">
      <c r="B35" t="s">
        <v>96</v>
      </c>
      <c r="C35" s="12">
        <v>74</v>
      </c>
      <c r="D35" s="8">
        <v>2.92</v>
      </c>
      <c r="E35" s="12">
        <v>35</v>
      </c>
      <c r="F35" s="8">
        <v>2.98</v>
      </c>
      <c r="G35" s="12">
        <v>38</v>
      </c>
      <c r="H35" s="8">
        <v>2.81</v>
      </c>
      <c r="I35" s="12">
        <v>1</v>
      </c>
    </row>
    <row r="36" spans="2:9" ht="15" customHeight="1" x14ac:dyDescent="0.2">
      <c r="B36" t="s">
        <v>132</v>
      </c>
      <c r="C36" s="12">
        <v>45</v>
      </c>
      <c r="D36" s="8">
        <v>1.78</v>
      </c>
      <c r="E36" s="12">
        <v>0</v>
      </c>
      <c r="F36" s="8">
        <v>0</v>
      </c>
      <c r="G36" s="12">
        <v>44</v>
      </c>
      <c r="H36" s="8">
        <v>3.26</v>
      </c>
      <c r="I36" s="12">
        <v>0</v>
      </c>
    </row>
    <row r="37" spans="2:9" ht="15" customHeight="1" x14ac:dyDescent="0.2">
      <c r="B37" t="s">
        <v>91</v>
      </c>
      <c r="C37" s="12">
        <v>43</v>
      </c>
      <c r="D37" s="8">
        <v>1.7</v>
      </c>
      <c r="E37" s="12">
        <v>0</v>
      </c>
      <c r="F37" s="8">
        <v>0</v>
      </c>
      <c r="G37" s="12">
        <v>43</v>
      </c>
      <c r="H37" s="8">
        <v>3.19</v>
      </c>
      <c r="I37" s="12">
        <v>0</v>
      </c>
    </row>
    <row r="38" spans="2:9" ht="15" customHeight="1" x14ac:dyDescent="0.2">
      <c r="B38" t="s">
        <v>97</v>
      </c>
      <c r="C38" s="12">
        <v>40</v>
      </c>
      <c r="D38" s="8">
        <v>1.58</v>
      </c>
      <c r="E38" s="12">
        <v>20</v>
      </c>
      <c r="F38" s="8">
        <v>1.7</v>
      </c>
      <c r="G38" s="12">
        <v>20</v>
      </c>
      <c r="H38" s="8">
        <v>1.48</v>
      </c>
      <c r="I38" s="12">
        <v>0</v>
      </c>
    </row>
    <row r="39" spans="2:9" ht="15" customHeight="1" x14ac:dyDescent="0.2">
      <c r="B39" t="s">
        <v>95</v>
      </c>
      <c r="C39" s="12">
        <v>39</v>
      </c>
      <c r="D39" s="8">
        <v>1.54</v>
      </c>
      <c r="E39" s="12">
        <v>18</v>
      </c>
      <c r="F39" s="8">
        <v>1.53</v>
      </c>
      <c r="G39" s="12">
        <v>21</v>
      </c>
      <c r="H39" s="8">
        <v>1.56</v>
      </c>
      <c r="I39" s="12">
        <v>0</v>
      </c>
    </row>
    <row r="40" spans="2:9" ht="15" customHeight="1" x14ac:dyDescent="0.2">
      <c r="B40" t="s">
        <v>107</v>
      </c>
      <c r="C40" s="12">
        <v>37</v>
      </c>
      <c r="D40" s="8">
        <v>1.46</v>
      </c>
      <c r="E40" s="12">
        <v>1</v>
      </c>
      <c r="F40" s="8">
        <v>0.09</v>
      </c>
      <c r="G40" s="12">
        <v>36</v>
      </c>
      <c r="H40" s="8">
        <v>2.67</v>
      </c>
      <c r="I40" s="12">
        <v>0</v>
      </c>
    </row>
    <row r="41" spans="2:9" ht="15" customHeight="1" x14ac:dyDescent="0.2">
      <c r="B41" t="s">
        <v>129</v>
      </c>
      <c r="C41" s="12">
        <v>36</v>
      </c>
      <c r="D41" s="8">
        <v>1.42</v>
      </c>
      <c r="E41" s="12">
        <v>10</v>
      </c>
      <c r="F41" s="8">
        <v>0.85</v>
      </c>
      <c r="G41" s="12">
        <v>26</v>
      </c>
      <c r="H41" s="8">
        <v>1.93</v>
      </c>
      <c r="I41" s="12">
        <v>0</v>
      </c>
    </row>
    <row r="42" spans="2:9" ht="15" customHeight="1" x14ac:dyDescent="0.2">
      <c r="B42" t="s">
        <v>93</v>
      </c>
      <c r="C42" s="12">
        <v>35</v>
      </c>
      <c r="D42" s="8">
        <v>1.38</v>
      </c>
      <c r="E42" s="12">
        <v>5</v>
      </c>
      <c r="F42" s="8">
        <v>0.43</v>
      </c>
      <c r="G42" s="12">
        <v>30</v>
      </c>
      <c r="H42" s="8">
        <v>2.2200000000000002</v>
      </c>
      <c r="I42" s="12">
        <v>0</v>
      </c>
    </row>
    <row r="43" spans="2:9" ht="15" customHeight="1" x14ac:dyDescent="0.2">
      <c r="B43" t="s">
        <v>99</v>
      </c>
      <c r="C43" s="12">
        <v>35</v>
      </c>
      <c r="D43" s="8">
        <v>1.38</v>
      </c>
      <c r="E43" s="12">
        <v>4</v>
      </c>
      <c r="F43" s="8">
        <v>0.34</v>
      </c>
      <c r="G43" s="12">
        <v>31</v>
      </c>
      <c r="H43" s="8">
        <v>2.2999999999999998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274</v>
      </c>
      <c r="D47" s="8">
        <v>10.81</v>
      </c>
      <c r="E47" s="12">
        <v>188</v>
      </c>
      <c r="F47" s="8">
        <v>15.99</v>
      </c>
      <c r="G47" s="12">
        <v>86</v>
      </c>
      <c r="H47" s="8">
        <v>6.37</v>
      </c>
      <c r="I47" s="12">
        <v>0</v>
      </c>
    </row>
    <row r="48" spans="2:9" ht="15" customHeight="1" x14ac:dyDescent="0.2">
      <c r="B48" t="s">
        <v>172</v>
      </c>
      <c r="C48" s="12">
        <v>114</v>
      </c>
      <c r="D48" s="8">
        <v>4.5</v>
      </c>
      <c r="E48" s="12">
        <v>94</v>
      </c>
      <c r="F48" s="8">
        <v>7.99</v>
      </c>
      <c r="G48" s="12">
        <v>20</v>
      </c>
      <c r="H48" s="8">
        <v>1.48</v>
      </c>
      <c r="I48" s="12">
        <v>0</v>
      </c>
    </row>
    <row r="49" spans="2:9" ht="15" customHeight="1" x14ac:dyDescent="0.2">
      <c r="B49" t="s">
        <v>173</v>
      </c>
      <c r="C49" s="12">
        <v>104</v>
      </c>
      <c r="D49" s="8">
        <v>4.0999999999999996</v>
      </c>
      <c r="E49" s="12">
        <v>86</v>
      </c>
      <c r="F49" s="8">
        <v>7.31</v>
      </c>
      <c r="G49" s="12">
        <v>18</v>
      </c>
      <c r="H49" s="8">
        <v>1.33</v>
      </c>
      <c r="I49" s="12">
        <v>0</v>
      </c>
    </row>
    <row r="50" spans="2:9" ht="15" customHeight="1" x14ac:dyDescent="0.2">
      <c r="B50" t="s">
        <v>175</v>
      </c>
      <c r="C50" s="12">
        <v>79</v>
      </c>
      <c r="D50" s="8">
        <v>3.12</v>
      </c>
      <c r="E50" s="12">
        <v>69</v>
      </c>
      <c r="F50" s="8">
        <v>5.87</v>
      </c>
      <c r="G50" s="12">
        <v>10</v>
      </c>
      <c r="H50" s="8">
        <v>0.74</v>
      </c>
      <c r="I50" s="12">
        <v>0</v>
      </c>
    </row>
    <row r="51" spans="2:9" ht="15" customHeight="1" x14ac:dyDescent="0.2">
      <c r="B51" t="s">
        <v>168</v>
      </c>
      <c r="C51" s="12">
        <v>65</v>
      </c>
      <c r="D51" s="8">
        <v>2.56</v>
      </c>
      <c r="E51" s="12">
        <v>49</v>
      </c>
      <c r="F51" s="8">
        <v>4.17</v>
      </c>
      <c r="G51" s="12">
        <v>16</v>
      </c>
      <c r="H51" s="8">
        <v>1.19</v>
      </c>
      <c r="I51" s="12">
        <v>0</v>
      </c>
    </row>
    <row r="52" spans="2:9" ht="15" customHeight="1" x14ac:dyDescent="0.2">
      <c r="B52" t="s">
        <v>163</v>
      </c>
      <c r="C52" s="12">
        <v>64</v>
      </c>
      <c r="D52" s="8">
        <v>2.52</v>
      </c>
      <c r="E52" s="12">
        <v>2</v>
      </c>
      <c r="F52" s="8">
        <v>0.17</v>
      </c>
      <c r="G52" s="12">
        <v>62</v>
      </c>
      <c r="H52" s="8">
        <v>4.59</v>
      </c>
      <c r="I52" s="12">
        <v>0</v>
      </c>
    </row>
    <row r="53" spans="2:9" ht="15" customHeight="1" x14ac:dyDescent="0.2">
      <c r="B53" t="s">
        <v>171</v>
      </c>
      <c r="C53" s="12">
        <v>62</v>
      </c>
      <c r="D53" s="8">
        <v>2.4500000000000002</v>
      </c>
      <c r="E53" s="12">
        <v>51</v>
      </c>
      <c r="F53" s="8">
        <v>4.34</v>
      </c>
      <c r="G53" s="12">
        <v>11</v>
      </c>
      <c r="H53" s="8">
        <v>0.81</v>
      </c>
      <c r="I53" s="12">
        <v>0</v>
      </c>
    </row>
    <row r="54" spans="2:9" ht="15" customHeight="1" x14ac:dyDescent="0.2">
      <c r="B54" t="s">
        <v>225</v>
      </c>
      <c r="C54" s="12">
        <v>52</v>
      </c>
      <c r="D54" s="8">
        <v>2.0499999999999998</v>
      </c>
      <c r="E54" s="12">
        <v>38</v>
      </c>
      <c r="F54" s="8">
        <v>3.23</v>
      </c>
      <c r="G54" s="12">
        <v>14</v>
      </c>
      <c r="H54" s="8">
        <v>1.04</v>
      </c>
      <c r="I54" s="12">
        <v>0</v>
      </c>
    </row>
    <row r="55" spans="2:9" ht="15" customHeight="1" x14ac:dyDescent="0.2">
      <c r="B55" t="s">
        <v>167</v>
      </c>
      <c r="C55" s="12">
        <v>51</v>
      </c>
      <c r="D55" s="8">
        <v>2.0099999999999998</v>
      </c>
      <c r="E55" s="12">
        <v>15</v>
      </c>
      <c r="F55" s="8">
        <v>1.28</v>
      </c>
      <c r="G55" s="12">
        <v>36</v>
      </c>
      <c r="H55" s="8">
        <v>2.67</v>
      </c>
      <c r="I55" s="12">
        <v>0</v>
      </c>
    </row>
    <row r="56" spans="2:9" ht="15" customHeight="1" x14ac:dyDescent="0.2">
      <c r="B56" t="s">
        <v>169</v>
      </c>
      <c r="C56" s="12">
        <v>43</v>
      </c>
      <c r="D56" s="8">
        <v>1.7</v>
      </c>
      <c r="E56" s="12">
        <v>39</v>
      </c>
      <c r="F56" s="8">
        <v>3.32</v>
      </c>
      <c r="G56" s="12">
        <v>4</v>
      </c>
      <c r="H56" s="8">
        <v>0.3</v>
      </c>
      <c r="I56" s="12">
        <v>0</v>
      </c>
    </row>
    <row r="57" spans="2:9" ht="15" customHeight="1" x14ac:dyDescent="0.2">
      <c r="B57" t="s">
        <v>200</v>
      </c>
      <c r="C57" s="12">
        <v>40</v>
      </c>
      <c r="D57" s="8">
        <v>1.58</v>
      </c>
      <c r="E57" s="12">
        <v>10</v>
      </c>
      <c r="F57" s="8">
        <v>0.85</v>
      </c>
      <c r="G57" s="12">
        <v>30</v>
      </c>
      <c r="H57" s="8">
        <v>2.2200000000000002</v>
      </c>
      <c r="I57" s="12">
        <v>0</v>
      </c>
    </row>
    <row r="58" spans="2:9" ht="15" customHeight="1" x14ac:dyDescent="0.2">
      <c r="B58" t="s">
        <v>157</v>
      </c>
      <c r="C58" s="12">
        <v>37</v>
      </c>
      <c r="D58" s="8">
        <v>1.46</v>
      </c>
      <c r="E58" s="12">
        <v>0</v>
      </c>
      <c r="F58" s="8">
        <v>0</v>
      </c>
      <c r="G58" s="12">
        <v>37</v>
      </c>
      <c r="H58" s="8">
        <v>2.74</v>
      </c>
      <c r="I58" s="12">
        <v>0</v>
      </c>
    </row>
    <row r="59" spans="2:9" ht="15" customHeight="1" x14ac:dyDescent="0.2">
      <c r="B59" t="s">
        <v>159</v>
      </c>
      <c r="C59" s="12">
        <v>37</v>
      </c>
      <c r="D59" s="8">
        <v>1.46</v>
      </c>
      <c r="E59" s="12">
        <v>22</v>
      </c>
      <c r="F59" s="8">
        <v>1.87</v>
      </c>
      <c r="G59" s="12">
        <v>15</v>
      </c>
      <c r="H59" s="8">
        <v>1.1100000000000001</v>
      </c>
      <c r="I59" s="12">
        <v>0</v>
      </c>
    </row>
    <row r="60" spans="2:9" ht="15" customHeight="1" x14ac:dyDescent="0.2">
      <c r="B60" t="s">
        <v>166</v>
      </c>
      <c r="C60" s="12">
        <v>35</v>
      </c>
      <c r="D60" s="8">
        <v>1.38</v>
      </c>
      <c r="E60" s="12">
        <v>4</v>
      </c>
      <c r="F60" s="8">
        <v>0.34</v>
      </c>
      <c r="G60" s="12">
        <v>31</v>
      </c>
      <c r="H60" s="8">
        <v>2.2999999999999998</v>
      </c>
      <c r="I60" s="12">
        <v>0</v>
      </c>
    </row>
    <row r="61" spans="2:9" ht="15" customHeight="1" x14ac:dyDescent="0.2">
      <c r="B61" t="s">
        <v>201</v>
      </c>
      <c r="C61" s="12">
        <v>33</v>
      </c>
      <c r="D61" s="8">
        <v>1.3</v>
      </c>
      <c r="E61" s="12">
        <v>7</v>
      </c>
      <c r="F61" s="8">
        <v>0.6</v>
      </c>
      <c r="G61" s="12">
        <v>26</v>
      </c>
      <c r="H61" s="8">
        <v>1.93</v>
      </c>
      <c r="I61" s="12">
        <v>0</v>
      </c>
    </row>
    <row r="62" spans="2:9" ht="15" customHeight="1" x14ac:dyDescent="0.2">
      <c r="B62" t="s">
        <v>174</v>
      </c>
      <c r="C62" s="12">
        <v>33</v>
      </c>
      <c r="D62" s="8">
        <v>1.3</v>
      </c>
      <c r="E62" s="12">
        <v>30</v>
      </c>
      <c r="F62" s="8">
        <v>2.5499999999999998</v>
      </c>
      <c r="G62" s="12">
        <v>3</v>
      </c>
      <c r="H62" s="8">
        <v>0.22</v>
      </c>
      <c r="I62" s="12">
        <v>0</v>
      </c>
    </row>
    <row r="63" spans="2:9" ht="15" customHeight="1" x14ac:dyDescent="0.2">
      <c r="B63" t="s">
        <v>161</v>
      </c>
      <c r="C63" s="12">
        <v>32</v>
      </c>
      <c r="D63" s="8">
        <v>1.26</v>
      </c>
      <c r="E63" s="12">
        <v>7</v>
      </c>
      <c r="F63" s="8">
        <v>0.6</v>
      </c>
      <c r="G63" s="12">
        <v>25</v>
      </c>
      <c r="H63" s="8">
        <v>1.85</v>
      </c>
      <c r="I63" s="12">
        <v>0</v>
      </c>
    </row>
    <row r="64" spans="2:9" ht="15" customHeight="1" x14ac:dyDescent="0.2">
      <c r="B64" t="s">
        <v>220</v>
      </c>
      <c r="C64" s="12">
        <v>31</v>
      </c>
      <c r="D64" s="8">
        <v>1.22</v>
      </c>
      <c r="E64" s="12">
        <v>5</v>
      </c>
      <c r="F64" s="8">
        <v>0.43</v>
      </c>
      <c r="G64" s="12">
        <v>26</v>
      </c>
      <c r="H64" s="8">
        <v>1.93</v>
      </c>
      <c r="I64" s="12">
        <v>0</v>
      </c>
    </row>
    <row r="65" spans="2:9" ht="15" customHeight="1" x14ac:dyDescent="0.2">
      <c r="B65" t="s">
        <v>197</v>
      </c>
      <c r="C65" s="12">
        <v>31</v>
      </c>
      <c r="D65" s="8">
        <v>1.22</v>
      </c>
      <c r="E65" s="12">
        <v>13</v>
      </c>
      <c r="F65" s="8">
        <v>1.1100000000000001</v>
      </c>
      <c r="G65" s="12">
        <v>18</v>
      </c>
      <c r="H65" s="8">
        <v>1.33</v>
      </c>
      <c r="I65" s="12">
        <v>0</v>
      </c>
    </row>
    <row r="66" spans="2:9" ht="15" customHeight="1" x14ac:dyDescent="0.2">
      <c r="B66" t="s">
        <v>226</v>
      </c>
      <c r="C66" s="12">
        <v>30</v>
      </c>
      <c r="D66" s="8">
        <v>1.18</v>
      </c>
      <c r="E66" s="12">
        <v>12</v>
      </c>
      <c r="F66" s="8">
        <v>1.02</v>
      </c>
      <c r="G66" s="12">
        <v>18</v>
      </c>
      <c r="H66" s="8">
        <v>1.33</v>
      </c>
      <c r="I66" s="12">
        <v>0</v>
      </c>
    </row>
    <row r="67" spans="2:9" ht="15" customHeight="1" x14ac:dyDescent="0.2">
      <c r="B67" t="s">
        <v>198</v>
      </c>
      <c r="C67" s="12">
        <v>30</v>
      </c>
      <c r="D67" s="8">
        <v>1.18</v>
      </c>
      <c r="E67" s="12">
        <v>7</v>
      </c>
      <c r="F67" s="8">
        <v>0.6</v>
      </c>
      <c r="G67" s="12">
        <v>23</v>
      </c>
      <c r="H67" s="8">
        <v>1.7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C699-5CFD-4A4A-992D-EB9642BD2DE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344</v>
      </c>
      <c r="D6" s="8">
        <v>15.99</v>
      </c>
      <c r="E6" s="12">
        <v>54</v>
      </c>
      <c r="F6" s="8">
        <v>5.72</v>
      </c>
      <c r="G6" s="12">
        <v>290</v>
      </c>
      <c r="H6" s="8">
        <v>24.11</v>
      </c>
      <c r="I6" s="12">
        <v>0</v>
      </c>
    </row>
    <row r="7" spans="2:9" ht="15" customHeight="1" x14ac:dyDescent="0.2">
      <c r="B7" t="s">
        <v>67</v>
      </c>
      <c r="C7" s="12">
        <v>133</v>
      </c>
      <c r="D7" s="8">
        <v>6.18</v>
      </c>
      <c r="E7" s="12">
        <v>30</v>
      </c>
      <c r="F7" s="8">
        <v>3.18</v>
      </c>
      <c r="G7" s="12">
        <v>103</v>
      </c>
      <c r="H7" s="8">
        <v>8.56</v>
      </c>
      <c r="I7" s="12">
        <v>0</v>
      </c>
    </row>
    <row r="8" spans="2:9" ht="15" customHeight="1" x14ac:dyDescent="0.2">
      <c r="B8" t="s">
        <v>68</v>
      </c>
      <c r="C8" s="12">
        <v>5</v>
      </c>
      <c r="D8" s="8">
        <v>0.23</v>
      </c>
      <c r="E8" s="12">
        <v>0</v>
      </c>
      <c r="F8" s="8">
        <v>0</v>
      </c>
      <c r="G8" s="12">
        <v>5</v>
      </c>
      <c r="H8" s="8">
        <v>0.42</v>
      </c>
      <c r="I8" s="12">
        <v>0</v>
      </c>
    </row>
    <row r="9" spans="2:9" ht="15" customHeight="1" x14ac:dyDescent="0.2">
      <c r="B9" t="s">
        <v>69</v>
      </c>
      <c r="C9" s="12">
        <v>39</v>
      </c>
      <c r="D9" s="8">
        <v>1.81</v>
      </c>
      <c r="E9" s="12">
        <v>2</v>
      </c>
      <c r="F9" s="8">
        <v>0.21</v>
      </c>
      <c r="G9" s="12">
        <v>37</v>
      </c>
      <c r="H9" s="8">
        <v>3.08</v>
      </c>
      <c r="I9" s="12">
        <v>0</v>
      </c>
    </row>
    <row r="10" spans="2:9" ht="15" customHeight="1" x14ac:dyDescent="0.2">
      <c r="B10" t="s">
        <v>70</v>
      </c>
      <c r="C10" s="12">
        <v>20</v>
      </c>
      <c r="D10" s="8">
        <v>0.93</v>
      </c>
      <c r="E10" s="12">
        <v>4</v>
      </c>
      <c r="F10" s="8">
        <v>0.42</v>
      </c>
      <c r="G10" s="12">
        <v>16</v>
      </c>
      <c r="H10" s="8">
        <v>1.33</v>
      </c>
      <c r="I10" s="12">
        <v>0</v>
      </c>
    </row>
    <row r="11" spans="2:9" ht="15" customHeight="1" x14ac:dyDescent="0.2">
      <c r="B11" t="s">
        <v>71</v>
      </c>
      <c r="C11" s="12">
        <v>389</v>
      </c>
      <c r="D11" s="8">
        <v>18.079999999999998</v>
      </c>
      <c r="E11" s="12">
        <v>180</v>
      </c>
      <c r="F11" s="8">
        <v>19.07</v>
      </c>
      <c r="G11" s="12">
        <v>208</v>
      </c>
      <c r="H11" s="8">
        <v>17.29</v>
      </c>
      <c r="I11" s="12">
        <v>0</v>
      </c>
    </row>
    <row r="12" spans="2:9" ht="15" customHeight="1" x14ac:dyDescent="0.2">
      <c r="B12" t="s">
        <v>72</v>
      </c>
      <c r="C12" s="12">
        <v>12</v>
      </c>
      <c r="D12" s="8">
        <v>0.56000000000000005</v>
      </c>
      <c r="E12" s="12">
        <v>3</v>
      </c>
      <c r="F12" s="8">
        <v>0.32</v>
      </c>
      <c r="G12" s="12">
        <v>9</v>
      </c>
      <c r="H12" s="8">
        <v>0.75</v>
      </c>
      <c r="I12" s="12">
        <v>0</v>
      </c>
    </row>
    <row r="13" spans="2:9" ht="15" customHeight="1" x14ac:dyDescent="0.2">
      <c r="B13" t="s">
        <v>73</v>
      </c>
      <c r="C13" s="12">
        <v>235</v>
      </c>
      <c r="D13" s="8">
        <v>10.93</v>
      </c>
      <c r="E13" s="12">
        <v>44</v>
      </c>
      <c r="F13" s="8">
        <v>4.66</v>
      </c>
      <c r="G13" s="12">
        <v>191</v>
      </c>
      <c r="H13" s="8">
        <v>15.88</v>
      </c>
      <c r="I13" s="12">
        <v>0</v>
      </c>
    </row>
    <row r="14" spans="2:9" ht="15" customHeight="1" x14ac:dyDescent="0.2">
      <c r="B14" t="s">
        <v>74</v>
      </c>
      <c r="C14" s="12">
        <v>145</v>
      </c>
      <c r="D14" s="8">
        <v>6.74</v>
      </c>
      <c r="E14" s="12">
        <v>55</v>
      </c>
      <c r="F14" s="8">
        <v>5.83</v>
      </c>
      <c r="G14" s="12">
        <v>90</v>
      </c>
      <c r="H14" s="8">
        <v>7.48</v>
      </c>
      <c r="I14" s="12">
        <v>0</v>
      </c>
    </row>
    <row r="15" spans="2:9" ht="15" customHeight="1" x14ac:dyDescent="0.2">
      <c r="B15" t="s">
        <v>75</v>
      </c>
      <c r="C15" s="12">
        <v>274</v>
      </c>
      <c r="D15" s="8">
        <v>12.74</v>
      </c>
      <c r="E15" s="12">
        <v>210</v>
      </c>
      <c r="F15" s="8">
        <v>22.25</v>
      </c>
      <c r="G15" s="12">
        <v>64</v>
      </c>
      <c r="H15" s="8">
        <v>5.32</v>
      </c>
      <c r="I15" s="12">
        <v>0</v>
      </c>
    </row>
    <row r="16" spans="2:9" ht="15" customHeight="1" x14ac:dyDescent="0.2">
      <c r="B16" t="s">
        <v>76</v>
      </c>
      <c r="C16" s="12">
        <v>268</v>
      </c>
      <c r="D16" s="8">
        <v>12.46</v>
      </c>
      <c r="E16" s="12">
        <v>190</v>
      </c>
      <c r="F16" s="8">
        <v>20.13</v>
      </c>
      <c r="G16" s="12">
        <v>77</v>
      </c>
      <c r="H16" s="8">
        <v>6.4</v>
      </c>
      <c r="I16" s="12">
        <v>0</v>
      </c>
    </row>
    <row r="17" spans="2:9" ht="15" customHeight="1" x14ac:dyDescent="0.2">
      <c r="B17" t="s">
        <v>77</v>
      </c>
      <c r="C17" s="12">
        <v>91</v>
      </c>
      <c r="D17" s="8">
        <v>4.2300000000000004</v>
      </c>
      <c r="E17" s="12">
        <v>70</v>
      </c>
      <c r="F17" s="8">
        <v>7.42</v>
      </c>
      <c r="G17" s="12">
        <v>21</v>
      </c>
      <c r="H17" s="8">
        <v>1.75</v>
      </c>
      <c r="I17" s="12">
        <v>0</v>
      </c>
    </row>
    <row r="18" spans="2:9" ht="15" customHeight="1" x14ac:dyDescent="0.2">
      <c r="B18" t="s">
        <v>78</v>
      </c>
      <c r="C18" s="12">
        <v>129</v>
      </c>
      <c r="D18" s="8">
        <v>6</v>
      </c>
      <c r="E18" s="12">
        <v>84</v>
      </c>
      <c r="F18" s="8">
        <v>8.9</v>
      </c>
      <c r="G18" s="12">
        <v>43</v>
      </c>
      <c r="H18" s="8">
        <v>3.57</v>
      </c>
      <c r="I18" s="12">
        <v>0</v>
      </c>
    </row>
    <row r="19" spans="2:9" ht="15" customHeight="1" x14ac:dyDescent="0.2">
      <c r="B19" t="s">
        <v>79</v>
      </c>
      <c r="C19" s="12">
        <v>67</v>
      </c>
      <c r="D19" s="8">
        <v>3.11</v>
      </c>
      <c r="E19" s="12">
        <v>18</v>
      </c>
      <c r="F19" s="8">
        <v>1.91</v>
      </c>
      <c r="G19" s="12">
        <v>49</v>
      </c>
      <c r="H19" s="8">
        <v>4.07</v>
      </c>
      <c r="I19" s="12">
        <v>0</v>
      </c>
    </row>
    <row r="20" spans="2:9" ht="15" customHeight="1" x14ac:dyDescent="0.2">
      <c r="B20" s="9" t="s">
        <v>280</v>
      </c>
      <c r="C20" s="12">
        <f>SUM(LTBL_13213[総数／事業所数])</f>
        <v>2151</v>
      </c>
      <c r="E20" s="12">
        <f>SUBTOTAL(109,LTBL_13213[個人／事業所数])</f>
        <v>944</v>
      </c>
      <c r="G20" s="12">
        <f>SUBTOTAL(109,LTBL_13213[法人／事業所数])</f>
        <v>1203</v>
      </c>
      <c r="I20" s="12">
        <f>SUBTOTAL(109,LTBL_13213[法人以外の団体／事業所数])</f>
        <v>0</v>
      </c>
    </row>
    <row r="21" spans="2:9" ht="15" customHeight="1" x14ac:dyDescent="0.2">
      <c r="E21" s="11">
        <f>LTBL_13213[[#Totals],[個人／事業所数]]/LTBL_13213[[#Totals],[総数／事業所数]]</f>
        <v>0.4388656438865644</v>
      </c>
      <c r="G21" s="11">
        <f>LTBL_13213[[#Totals],[法人／事業所数]]/LTBL_13213[[#Totals],[総数／事業所数]]</f>
        <v>0.55927475592747555</v>
      </c>
      <c r="I21" s="11">
        <f>LTBL_13213[[#Totals],[法人以外の団体／事業所数]]/LTBL_13213[[#Totals],[総数／事業所数]]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248</v>
      </c>
      <c r="D24" s="8">
        <v>11.53</v>
      </c>
      <c r="E24" s="12">
        <v>207</v>
      </c>
      <c r="F24" s="8">
        <v>21.93</v>
      </c>
      <c r="G24" s="12">
        <v>41</v>
      </c>
      <c r="H24" s="8">
        <v>3.41</v>
      </c>
      <c r="I24" s="12">
        <v>0</v>
      </c>
    </row>
    <row r="25" spans="2:9" ht="15" customHeight="1" x14ac:dyDescent="0.2">
      <c r="B25" t="s">
        <v>104</v>
      </c>
      <c r="C25" s="12">
        <v>220</v>
      </c>
      <c r="D25" s="8">
        <v>10.23</v>
      </c>
      <c r="E25" s="12">
        <v>169</v>
      </c>
      <c r="F25" s="8">
        <v>17.899999999999999</v>
      </c>
      <c r="G25" s="12">
        <v>51</v>
      </c>
      <c r="H25" s="8">
        <v>4.24</v>
      </c>
      <c r="I25" s="12">
        <v>0</v>
      </c>
    </row>
    <row r="26" spans="2:9" ht="15" customHeight="1" x14ac:dyDescent="0.2">
      <c r="B26" t="s">
        <v>100</v>
      </c>
      <c r="C26" s="12">
        <v>177</v>
      </c>
      <c r="D26" s="8">
        <v>8.23</v>
      </c>
      <c r="E26" s="12">
        <v>39</v>
      </c>
      <c r="F26" s="8">
        <v>4.13</v>
      </c>
      <c r="G26" s="12">
        <v>138</v>
      </c>
      <c r="H26" s="8">
        <v>11.47</v>
      </c>
      <c r="I26" s="12">
        <v>0</v>
      </c>
    </row>
    <row r="27" spans="2:9" ht="15" customHeight="1" x14ac:dyDescent="0.2">
      <c r="B27" t="s">
        <v>89</v>
      </c>
      <c r="C27" s="12">
        <v>152</v>
      </c>
      <c r="D27" s="8">
        <v>7.07</v>
      </c>
      <c r="E27" s="12">
        <v>33</v>
      </c>
      <c r="F27" s="8">
        <v>3.5</v>
      </c>
      <c r="G27" s="12">
        <v>119</v>
      </c>
      <c r="H27" s="8">
        <v>9.89</v>
      </c>
      <c r="I27" s="12">
        <v>0</v>
      </c>
    </row>
    <row r="28" spans="2:9" ht="15" customHeight="1" x14ac:dyDescent="0.2">
      <c r="B28" t="s">
        <v>98</v>
      </c>
      <c r="C28" s="12">
        <v>118</v>
      </c>
      <c r="D28" s="8">
        <v>5.49</v>
      </c>
      <c r="E28" s="12">
        <v>54</v>
      </c>
      <c r="F28" s="8">
        <v>5.72</v>
      </c>
      <c r="G28" s="12">
        <v>63</v>
      </c>
      <c r="H28" s="8">
        <v>5.24</v>
      </c>
      <c r="I28" s="12">
        <v>0</v>
      </c>
    </row>
    <row r="29" spans="2:9" ht="15" customHeight="1" x14ac:dyDescent="0.2">
      <c r="B29" t="s">
        <v>88</v>
      </c>
      <c r="C29" s="12">
        <v>107</v>
      </c>
      <c r="D29" s="8">
        <v>4.97</v>
      </c>
      <c r="E29" s="12">
        <v>8</v>
      </c>
      <c r="F29" s="8">
        <v>0.85</v>
      </c>
      <c r="G29" s="12">
        <v>99</v>
      </c>
      <c r="H29" s="8">
        <v>8.23</v>
      </c>
      <c r="I29" s="12">
        <v>0</v>
      </c>
    </row>
    <row r="30" spans="2:9" ht="15" customHeight="1" x14ac:dyDescent="0.2">
      <c r="B30" t="s">
        <v>106</v>
      </c>
      <c r="C30" s="12">
        <v>95</v>
      </c>
      <c r="D30" s="8">
        <v>4.42</v>
      </c>
      <c r="E30" s="12">
        <v>84</v>
      </c>
      <c r="F30" s="8">
        <v>8.9</v>
      </c>
      <c r="G30" s="12">
        <v>11</v>
      </c>
      <c r="H30" s="8">
        <v>0.91</v>
      </c>
      <c r="I30" s="12">
        <v>0</v>
      </c>
    </row>
    <row r="31" spans="2:9" ht="15" customHeight="1" x14ac:dyDescent="0.2">
      <c r="B31" t="s">
        <v>96</v>
      </c>
      <c r="C31" s="12">
        <v>93</v>
      </c>
      <c r="D31" s="8">
        <v>4.32</v>
      </c>
      <c r="E31" s="12">
        <v>67</v>
      </c>
      <c r="F31" s="8">
        <v>7.1</v>
      </c>
      <c r="G31" s="12">
        <v>26</v>
      </c>
      <c r="H31" s="8">
        <v>2.16</v>
      </c>
      <c r="I31" s="12">
        <v>0</v>
      </c>
    </row>
    <row r="32" spans="2:9" ht="15" customHeight="1" x14ac:dyDescent="0.2">
      <c r="B32" t="s">
        <v>105</v>
      </c>
      <c r="C32" s="12">
        <v>91</v>
      </c>
      <c r="D32" s="8">
        <v>4.2300000000000004</v>
      </c>
      <c r="E32" s="12">
        <v>70</v>
      </c>
      <c r="F32" s="8">
        <v>7.42</v>
      </c>
      <c r="G32" s="12">
        <v>21</v>
      </c>
      <c r="H32" s="8">
        <v>1.75</v>
      </c>
      <c r="I32" s="12">
        <v>0</v>
      </c>
    </row>
    <row r="33" spans="2:9" ht="15" customHeight="1" x14ac:dyDescent="0.2">
      <c r="B33" t="s">
        <v>90</v>
      </c>
      <c r="C33" s="12">
        <v>85</v>
      </c>
      <c r="D33" s="8">
        <v>3.95</v>
      </c>
      <c r="E33" s="12">
        <v>13</v>
      </c>
      <c r="F33" s="8">
        <v>1.38</v>
      </c>
      <c r="G33" s="12">
        <v>72</v>
      </c>
      <c r="H33" s="8">
        <v>5.99</v>
      </c>
      <c r="I33" s="12">
        <v>0</v>
      </c>
    </row>
    <row r="34" spans="2:9" ht="15" customHeight="1" x14ac:dyDescent="0.2">
      <c r="B34" t="s">
        <v>101</v>
      </c>
      <c r="C34" s="12">
        <v>78</v>
      </c>
      <c r="D34" s="8">
        <v>3.63</v>
      </c>
      <c r="E34" s="12">
        <v>36</v>
      </c>
      <c r="F34" s="8">
        <v>3.81</v>
      </c>
      <c r="G34" s="12">
        <v>42</v>
      </c>
      <c r="H34" s="8">
        <v>3.49</v>
      </c>
      <c r="I34" s="12">
        <v>0</v>
      </c>
    </row>
    <row r="35" spans="2:9" ht="15" customHeight="1" x14ac:dyDescent="0.2">
      <c r="B35" t="s">
        <v>102</v>
      </c>
      <c r="C35" s="12">
        <v>64</v>
      </c>
      <c r="D35" s="8">
        <v>2.98</v>
      </c>
      <c r="E35" s="12">
        <v>19</v>
      </c>
      <c r="F35" s="8">
        <v>2.0099999999999998</v>
      </c>
      <c r="G35" s="12">
        <v>45</v>
      </c>
      <c r="H35" s="8">
        <v>3.74</v>
      </c>
      <c r="I35" s="12">
        <v>0</v>
      </c>
    </row>
    <row r="36" spans="2:9" ht="15" customHeight="1" x14ac:dyDescent="0.2">
      <c r="B36" t="s">
        <v>99</v>
      </c>
      <c r="C36" s="12">
        <v>49</v>
      </c>
      <c r="D36" s="8">
        <v>2.2799999999999998</v>
      </c>
      <c r="E36" s="12">
        <v>5</v>
      </c>
      <c r="F36" s="8">
        <v>0.53</v>
      </c>
      <c r="G36" s="12">
        <v>44</v>
      </c>
      <c r="H36" s="8">
        <v>3.66</v>
      </c>
      <c r="I36" s="12">
        <v>0</v>
      </c>
    </row>
    <row r="37" spans="2:9" ht="15" customHeight="1" x14ac:dyDescent="0.2">
      <c r="B37" t="s">
        <v>97</v>
      </c>
      <c r="C37" s="12">
        <v>47</v>
      </c>
      <c r="D37" s="8">
        <v>2.19</v>
      </c>
      <c r="E37" s="12">
        <v>25</v>
      </c>
      <c r="F37" s="8">
        <v>2.65</v>
      </c>
      <c r="G37" s="12">
        <v>22</v>
      </c>
      <c r="H37" s="8">
        <v>1.83</v>
      </c>
      <c r="I37" s="12">
        <v>0</v>
      </c>
    </row>
    <row r="38" spans="2:9" ht="15" customHeight="1" x14ac:dyDescent="0.2">
      <c r="B38" t="s">
        <v>132</v>
      </c>
      <c r="C38" s="12">
        <v>34</v>
      </c>
      <c r="D38" s="8">
        <v>1.58</v>
      </c>
      <c r="E38" s="12">
        <v>0</v>
      </c>
      <c r="F38" s="8">
        <v>0</v>
      </c>
      <c r="G38" s="12">
        <v>32</v>
      </c>
      <c r="H38" s="8">
        <v>2.66</v>
      </c>
      <c r="I38" s="12">
        <v>0</v>
      </c>
    </row>
    <row r="39" spans="2:9" ht="15" customHeight="1" x14ac:dyDescent="0.2">
      <c r="B39" t="s">
        <v>115</v>
      </c>
      <c r="C39" s="12">
        <v>33</v>
      </c>
      <c r="D39" s="8">
        <v>1.53</v>
      </c>
      <c r="E39" s="12">
        <v>14</v>
      </c>
      <c r="F39" s="8">
        <v>1.48</v>
      </c>
      <c r="G39" s="12">
        <v>19</v>
      </c>
      <c r="H39" s="8">
        <v>1.58</v>
      </c>
      <c r="I39" s="12">
        <v>0</v>
      </c>
    </row>
    <row r="40" spans="2:9" ht="15" customHeight="1" x14ac:dyDescent="0.2">
      <c r="B40" t="s">
        <v>107</v>
      </c>
      <c r="C40" s="12">
        <v>32</v>
      </c>
      <c r="D40" s="8">
        <v>1.49</v>
      </c>
      <c r="E40" s="12">
        <v>3</v>
      </c>
      <c r="F40" s="8">
        <v>0.32</v>
      </c>
      <c r="G40" s="12">
        <v>29</v>
      </c>
      <c r="H40" s="8">
        <v>2.41</v>
      </c>
      <c r="I40" s="12">
        <v>0</v>
      </c>
    </row>
    <row r="41" spans="2:9" ht="15" customHeight="1" x14ac:dyDescent="0.2">
      <c r="B41" t="s">
        <v>95</v>
      </c>
      <c r="C41" s="12">
        <v>28</v>
      </c>
      <c r="D41" s="8">
        <v>1.3</v>
      </c>
      <c r="E41" s="12">
        <v>19</v>
      </c>
      <c r="F41" s="8">
        <v>2.0099999999999998</v>
      </c>
      <c r="G41" s="12">
        <v>9</v>
      </c>
      <c r="H41" s="8">
        <v>0.75</v>
      </c>
      <c r="I41" s="12">
        <v>0</v>
      </c>
    </row>
    <row r="42" spans="2:9" ht="15" customHeight="1" x14ac:dyDescent="0.2">
      <c r="B42" t="s">
        <v>93</v>
      </c>
      <c r="C42" s="12">
        <v>24</v>
      </c>
      <c r="D42" s="8">
        <v>1.1200000000000001</v>
      </c>
      <c r="E42" s="12">
        <v>3</v>
      </c>
      <c r="F42" s="8">
        <v>0.32</v>
      </c>
      <c r="G42" s="12">
        <v>21</v>
      </c>
      <c r="H42" s="8">
        <v>1.75</v>
      </c>
      <c r="I42" s="12">
        <v>0</v>
      </c>
    </row>
    <row r="43" spans="2:9" ht="15" customHeight="1" x14ac:dyDescent="0.2">
      <c r="B43" t="s">
        <v>94</v>
      </c>
      <c r="C43" s="12">
        <v>22</v>
      </c>
      <c r="D43" s="8">
        <v>1.02</v>
      </c>
      <c r="E43" s="12">
        <v>4</v>
      </c>
      <c r="F43" s="8">
        <v>0.42</v>
      </c>
      <c r="G43" s="12">
        <v>18</v>
      </c>
      <c r="H43" s="8">
        <v>1.5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103</v>
      </c>
      <c r="D47" s="8">
        <v>4.79</v>
      </c>
      <c r="E47" s="12">
        <v>87</v>
      </c>
      <c r="F47" s="8">
        <v>9.2200000000000006</v>
      </c>
      <c r="G47" s="12">
        <v>16</v>
      </c>
      <c r="H47" s="8">
        <v>1.33</v>
      </c>
      <c r="I47" s="12">
        <v>0</v>
      </c>
    </row>
    <row r="48" spans="2:9" ht="15" customHeight="1" x14ac:dyDescent="0.2">
      <c r="B48" t="s">
        <v>162</v>
      </c>
      <c r="C48" s="12">
        <v>97</v>
      </c>
      <c r="D48" s="8">
        <v>4.51</v>
      </c>
      <c r="E48" s="12">
        <v>31</v>
      </c>
      <c r="F48" s="8">
        <v>3.28</v>
      </c>
      <c r="G48" s="12">
        <v>66</v>
      </c>
      <c r="H48" s="8">
        <v>5.49</v>
      </c>
      <c r="I48" s="12">
        <v>0</v>
      </c>
    </row>
    <row r="49" spans="2:9" ht="15" customHeight="1" x14ac:dyDescent="0.2">
      <c r="B49" t="s">
        <v>169</v>
      </c>
      <c r="C49" s="12">
        <v>83</v>
      </c>
      <c r="D49" s="8">
        <v>3.86</v>
      </c>
      <c r="E49" s="12">
        <v>75</v>
      </c>
      <c r="F49" s="8">
        <v>7.94</v>
      </c>
      <c r="G49" s="12">
        <v>8</v>
      </c>
      <c r="H49" s="8">
        <v>0.67</v>
      </c>
      <c r="I49" s="12">
        <v>0</v>
      </c>
    </row>
    <row r="50" spans="2:9" ht="15" customHeight="1" x14ac:dyDescent="0.2">
      <c r="B50" t="s">
        <v>175</v>
      </c>
      <c r="C50" s="12">
        <v>70</v>
      </c>
      <c r="D50" s="8">
        <v>3.25</v>
      </c>
      <c r="E50" s="12">
        <v>63</v>
      </c>
      <c r="F50" s="8">
        <v>6.67</v>
      </c>
      <c r="G50" s="12">
        <v>7</v>
      </c>
      <c r="H50" s="8">
        <v>0.57999999999999996</v>
      </c>
      <c r="I50" s="12">
        <v>0</v>
      </c>
    </row>
    <row r="51" spans="2:9" ht="15" customHeight="1" x14ac:dyDescent="0.2">
      <c r="B51" t="s">
        <v>173</v>
      </c>
      <c r="C51" s="12">
        <v>58</v>
      </c>
      <c r="D51" s="8">
        <v>2.7</v>
      </c>
      <c r="E51" s="12">
        <v>47</v>
      </c>
      <c r="F51" s="8">
        <v>4.9800000000000004</v>
      </c>
      <c r="G51" s="12">
        <v>11</v>
      </c>
      <c r="H51" s="8">
        <v>0.91</v>
      </c>
      <c r="I51" s="12">
        <v>0</v>
      </c>
    </row>
    <row r="52" spans="2:9" ht="15" customHeight="1" x14ac:dyDescent="0.2">
      <c r="B52" t="s">
        <v>168</v>
      </c>
      <c r="C52" s="12">
        <v>55</v>
      </c>
      <c r="D52" s="8">
        <v>2.56</v>
      </c>
      <c r="E52" s="12">
        <v>39</v>
      </c>
      <c r="F52" s="8">
        <v>4.13</v>
      </c>
      <c r="G52" s="12">
        <v>16</v>
      </c>
      <c r="H52" s="8">
        <v>1.33</v>
      </c>
      <c r="I52" s="12">
        <v>0</v>
      </c>
    </row>
    <row r="53" spans="2:9" ht="15" customHeight="1" x14ac:dyDescent="0.2">
      <c r="B53" t="s">
        <v>171</v>
      </c>
      <c r="C53" s="12">
        <v>52</v>
      </c>
      <c r="D53" s="8">
        <v>2.42</v>
      </c>
      <c r="E53" s="12">
        <v>46</v>
      </c>
      <c r="F53" s="8">
        <v>4.87</v>
      </c>
      <c r="G53" s="12">
        <v>6</v>
      </c>
      <c r="H53" s="8">
        <v>0.5</v>
      </c>
      <c r="I53" s="12">
        <v>0</v>
      </c>
    </row>
    <row r="54" spans="2:9" ht="15" customHeight="1" x14ac:dyDescent="0.2">
      <c r="B54" t="s">
        <v>197</v>
      </c>
      <c r="C54" s="12">
        <v>50</v>
      </c>
      <c r="D54" s="8">
        <v>2.3199999999999998</v>
      </c>
      <c r="E54" s="12">
        <v>28</v>
      </c>
      <c r="F54" s="8">
        <v>2.97</v>
      </c>
      <c r="G54" s="12">
        <v>22</v>
      </c>
      <c r="H54" s="8">
        <v>1.83</v>
      </c>
      <c r="I54" s="12">
        <v>0</v>
      </c>
    </row>
    <row r="55" spans="2:9" ht="15" customHeight="1" x14ac:dyDescent="0.2">
      <c r="B55" t="s">
        <v>159</v>
      </c>
      <c r="C55" s="12">
        <v>43</v>
      </c>
      <c r="D55" s="8">
        <v>2</v>
      </c>
      <c r="E55" s="12">
        <v>20</v>
      </c>
      <c r="F55" s="8">
        <v>2.12</v>
      </c>
      <c r="G55" s="12">
        <v>22</v>
      </c>
      <c r="H55" s="8">
        <v>1.83</v>
      </c>
      <c r="I55" s="12">
        <v>0</v>
      </c>
    </row>
    <row r="56" spans="2:9" ht="15" customHeight="1" x14ac:dyDescent="0.2">
      <c r="B56" t="s">
        <v>201</v>
      </c>
      <c r="C56" s="12">
        <v>41</v>
      </c>
      <c r="D56" s="8">
        <v>1.91</v>
      </c>
      <c r="E56" s="12">
        <v>7</v>
      </c>
      <c r="F56" s="8">
        <v>0.74</v>
      </c>
      <c r="G56" s="12">
        <v>34</v>
      </c>
      <c r="H56" s="8">
        <v>2.83</v>
      </c>
      <c r="I56" s="12">
        <v>0</v>
      </c>
    </row>
    <row r="57" spans="2:9" ht="15" customHeight="1" x14ac:dyDescent="0.2">
      <c r="B57" t="s">
        <v>167</v>
      </c>
      <c r="C57" s="12">
        <v>40</v>
      </c>
      <c r="D57" s="8">
        <v>1.86</v>
      </c>
      <c r="E57" s="12">
        <v>9</v>
      </c>
      <c r="F57" s="8">
        <v>0.95</v>
      </c>
      <c r="G57" s="12">
        <v>31</v>
      </c>
      <c r="H57" s="8">
        <v>2.58</v>
      </c>
      <c r="I57" s="12">
        <v>0</v>
      </c>
    </row>
    <row r="58" spans="2:9" ht="15" customHeight="1" x14ac:dyDescent="0.2">
      <c r="B58" t="s">
        <v>163</v>
      </c>
      <c r="C58" s="12">
        <v>39</v>
      </c>
      <c r="D58" s="8">
        <v>1.81</v>
      </c>
      <c r="E58" s="12">
        <v>0</v>
      </c>
      <c r="F58" s="8">
        <v>0</v>
      </c>
      <c r="G58" s="12">
        <v>39</v>
      </c>
      <c r="H58" s="8">
        <v>3.24</v>
      </c>
      <c r="I58" s="12">
        <v>0</v>
      </c>
    </row>
    <row r="59" spans="2:9" ht="15" customHeight="1" x14ac:dyDescent="0.2">
      <c r="B59" t="s">
        <v>170</v>
      </c>
      <c r="C59" s="12">
        <v>39</v>
      </c>
      <c r="D59" s="8">
        <v>1.81</v>
      </c>
      <c r="E59" s="12">
        <v>32</v>
      </c>
      <c r="F59" s="8">
        <v>3.39</v>
      </c>
      <c r="G59" s="12">
        <v>7</v>
      </c>
      <c r="H59" s="8">
        <v>0.57999999999999996</v>
      </c>
      <c r="I59" s="12">
        <v>0</v>
      </c>
    </row>
    <row r="60" spans="2:9" ht="15" customHeight="1" x14ac:dyDescent="0.2">
      <c r="B60" t="s">
        <v>160</v>
      </c>
      <c r="C60" s="12">
        <v>38</v>
      </c>
      <c r="D60" s="8">
        <v>1.77</v>
      </c>
      <c r="E60" s="12">
        <v>4</v>
      </c>
      <c r="F60" s="8">
        <v>0.42</v>
      </c>
      <c r="G60" s="12">
        <v>34</v>
      </c>
      <c r="H60" s="8">
        <v>2.83</v>
      </c>
      <c r="I60" s="12">
        <v>0</v>
      </c>
    </row>
    <row r="61" spans="2:9" ht="15" customHeight="1" x14ac:dyDescent="0.2">
      <c r="B61" t="s">
        <v>158</v>
      </c>
      <c r="C61" s="12">
        <v>36</v>
      </c>
      <c r="D61" s="8">
        <v>1.67</v>
      </c>
      <c r="E61" s="12">
        <v>20</v>
      </c>
      <c r="F61" s="8">
        <v>2.12</v>
      </c>
      <c r="G61" s="12">
        <v>16</v>
      </c>
      <c r="H61" s="8">
        <v>1.33</v>
      </c>
      <c r="I61" s="12">
        <v>0</v>
      </c>
    </row>
    <row r="62" spans="2:9" ht="15" customHeight="1" x14ac:dyDescent="0.2">
      <c r="B62" t="s">
        <v>200</v>
      </c>
      <c r="C62" s="12">
        <v>34</v>
      </c>
      <c r="D62" s="8">
        <v>1.58</v>
      </c>
      <c r="E62" s="12">
        <v>2</v>
      </c>
      <c r="F62" s="8">
        <v>0.21</v>
      </c>
      <c r="G62" s="12">
        <v>32</v>
      </c>
      <c r="H62" s="8">
        <v>2.66</v>
      </c>
      <c r="I62" s="12">
        <v>0</v>
      </c>
    </row>
    <row r="63" spans="2:9" ht="15" customHeight="1" x14ac:dyDescent="0.2">
      <c r="B63" t="s">
        <v>226</v>
      </c>
      <c r="C63" s="12">
        <v>34</v>
      </c>
      <c r="D63" s="8">
        <v>1.58</v>
      </c>
      <c r="E63" s="12">
        <v>8</v>
      </c>
      <c r="F63" s="8">
        <v>0.85</v>
      </c>
      <c r="G63" s="12">
        <v>26</v>
      </c>
      <c r="H63" s="8">
        <v>2.16</v>
      </c>
      <c r="I63" s="12">
        <v>0</v>
      </c>
    </row>
    <row r="64" spans="2:9" ht="15" customHeight="1" x14ac:dyDescent="0.2">
      <c r="B64" t="s">
        <v>195</v>
      </c>
      <c r="C64" s="12">
        <v>33</v>
      </c>
      <c r="D64" s="8">
        <v>1.53</v>
      </c>
      <c r="E64" s="12">
        <v>5</v>
      </c>
      <c r="F64" s="8">
        <v>0.53</v>
      </c>
      <c r="G64" s="12">
        <v>28</v>
      </c>
      <c r="H64" s="8">
        <v>2.33</v>
      </c>
      <c r="I64" s="12">
        <v>0</v>
      </c>
    </row>
    <row r="65" spans="2:9" ht="15" customHeight="1" x14ac:dyDescent="0.2">
      <c r="B65" t="s">
        <v>192</v>
      </c>
      <c r="C65" s="12">
        <v>33</v>
      </c>
      <c r="D65" s="8">
        <v>1.53</v>
      </c>
      <c r="E65" s="12">
        <v>6</v>
      </c>
      <c r="F65" s="8">
        <v>0.64</v>
      </c>
      <c r="G65" s="12">
        <v>27</v>
      </c>
      <c r="H65" s="8">
        <v>2.2400000000000002</v>
      </c>
      <c r="I65" s="12">
        <v>0</v>
      </c>
    </row>
    <row r="66" spans="2:9" ht="15" customHeight="1" x14ac:dyDescent="0.2">
      <c r="B66" t="s">
        <v>225</v>
      </c>
      <c r="C66" s="12">
        <v>32</v>
      </c>
      <c r="D66" s="8">
        <v>1.49</v>
      </c>
      <c r="E66" s="12">
        <v>23</v>
      </c>
      <c r="F66" s="8">
        <v>2.44</v>
      </c>
      <c r="G66" s="12">
        <v>9</v>
      </c>
      <c r="H66" s="8">
        <v>0.75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4C63-2476-4BE8-8AAE-B0C51CDC3B7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178</v>
      </c>
      <c r="D6" s="8">
        <v>9.2799999999999994</v>
      </c>
      <c r="E6" s="12">
        <v>32</v>
      </c>
      <c r="F6" s="8">
        <v>4.51</v>
      </c>
      <c r="G6" s="12">
        <v>146</v>
      </c>
      <c r="H6" s="8">
        <v>12.17</v>
      </c>
      <c r="I6" s="12">
        <v>0</v>
      </c>
    </row>
    <row r="7" spans="2:9" ht="15" customHeight="1" x14ac:dyDescent="0.2">
      <c r="B7" t="s">
        <v>67</v>
      </c>
      <c r="C7" s="12">
        <v>76</v>
      </c>
      <c r="D7" s="8">
        <v>3.96</v>
      </c>
      <c r="E7" s="12">
        <v>10</v>
      </c>
      <c r="F7" s="8">
        <v>1.41</v>
      </c>
      <c r="G7" s="12">
        <v>66</v>
      </c>
      <c r="H7" s="8">
        <v>5.5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0.1</v>
      </c>
      <c r="E8" s="12">
        <v>0</v>
      </c>
      <c r="F8" s="8">
        <v>0</v>
      </c>
      <c r="G8" s="12">
        <v>2</v>
      </c>
      <c r="H8" s="8">
        <v>0.17</v>
      </c>
      <c r="I8" s="12">
        <v>0</v>
      </c>
    </row>
    <row r="9" spans="2:9" ht="15" customHeight="1" x14ac:dyDescent="0.2">
      <c r="B9" t="s">
        <v>69</v>
      </c>
      <c r="C9" s="12">
        <v>59</v>
      </c>
      <c r="D9" s="8">
        <v>3.08</v>
      </c>
      <c r="E9" s="12">
        <v>4</v>
      </c>
      <c r="F9" s="8">
        <v>0.56000000000000005</v>
      </c>
      <c r="G9" s="12">
        <v>55</v>
      </c>
      <c r="H9" s="8">
        <v>4.58</v>
      </c>
      <c r="I9" s="12">
        <v>0</v>
      </c>
    </row>
    <row r="10" spans="2:9" ht="15" customHeight="1" x14ac:dyDescent="0.2">
      <c r="B10" t="s">
        <v>70</v>
      </c>
      <c r="C10" s="12">
        <v>9</v>
      </c>
      <c r="D10" s="8">
        <v>0.47</v>
      </c>
      <c r="E10" s="12">
        <v>3</v>
      </c>
      <c r="F10" s="8">
        <v>0.42</v>
      </c>
      <c r="G10" s="12">
        <v>6</v>
      </c>
      <c r="H10" s="8">
        <v>0.5</v>
      </c>
      <c r="I10" s="12">
        <v>0</v>
      </c>
    </row>
    <row r="11" spans="2:9" ht="15" customHeight="1" x14ac:dyDescent="0.2">
      <c r="B11" t="s">
        <v>71</v>
      </c>
      <c r="C11" s="12">
        <v>370</v>
      </c>
      <c r="D11" s="8">
        <v>19.29</v>
      </c>
      <c r="E11" s="12">
        <v>104</v>
      </c>
      <c r="F11" s="8">
        <v>14.67</v>
      </c>
      <c r="G11" s="12">
        <v>266</v>
      </c>
      <c r="H11" s="8">
        <v>22.17</v>
      </c>
      <c r="I11" s="12">
        <v>0</v>
      </c>
    </row>
    <row r="12" spans="2:9" ht="15" customHeight="1" x14ac:dyDescent="0.2">
      <c r="B12" t="s">
        <v>72</v>
      </c>
      <c r="C12" s="12">
        <v>10</v>
      </c>
      <c r="D12" s="8">
        <v>0.52</v>
      </c>
      <c r="E12" s="12">
        <v>1</v>
      </c>
      <c r="F12" s="8">
        <v>0.14000000000000001</v>
      </c>
      <c r="G12" s="12">
        <v>9</v>
      </c>
      <c r="H12" s="8">
        <v>0.75</v>
      </c>
      <c r="I12" s="12">
        <v>0</v>
      </c>
    </row>
    <row r="13" spans="2:9" ht="15" customHeight="1" x14ac:dyDescent="0.2">
      <c r="B13" t="s">
        <v>73</v>
      </c>
      <c r="C13" s="12">
        <v>290</v>
      </c>
      <c r="D13" s="8">
        <v>15.12</v>
      </c>
      <c r="E13" s="12">
        <v>25</v>
      </c>
      <c r="F13" s="8">
        <v>3.53</v>
      </c>
      <c r="G13" s="12">
        <v>265</v>
      </c>
      <c r="H13" s="8">
        <v>22.08</v>
      </c>
      <c r="I13" s="12">
        <v>0</v>
      </c>
    </row>
    <row r="14" spans="2:9" ht="15" customHeight="1" x14ac:dyDescent="0.2">
      <c r="B14" t="s">
        <v>74</v>
      </c>
      <c r="C14" s="12">
        <v>166</v>
      </c>
      <c r="D14" s="8">
        <v>8.65</v>
      </c>
      <c r="E14" s="12">
        <v>61</v>
      </c>
      <c r="F14" s="8">
        <v>8.6</v>
      </c>
      <c r="G14" s="12">
        <v>105</v>
      </c>
      <c r="H14" s="8">
        <v>8.75</v>
      </c>
      <c r="I14" s="12">
        <v>0</v>
      </c>
    </row>
    <row r="15" spans="2:9" ht="15" customHeight="1" x14ac:dyDescent="0.2">
      <c r="B15" t="s">
        <v>75</v>
      </c>
      <c r="C15" s="12">
        <v>227</v>
      </c>
      <c r="D15" s="8">
        <v>11.84</v>
      </c>
      <c r="E15" s="12">
        <v>163</v>
      </c>
      <c r="F15" s="8">
        <v>22.99</v>
      </c>
      <c r="G15" s="12">
        <v>64</v>
      </c>
      <c r="H15" s="8">
        <v>5.33</v>
      </c>
      <c r="I15" s="12">
        <v>0</v>
      </c>
    </row>
    <row r="16" spans="2:9" ht="15" customHeight="1" x14ac:dyDescent="0.2">
      <c r="B16" t="s">
        <v>76</v>
      </c>
      <c r="C16" s="12">
        <v>212</v>
      </c>
      <c r="D16" s="8">
        <v>11.05</v>
      </c>
      <c r="E16" s="12">
        <v>125</v>
      </c>
      <c r="F16" s="8">
        <v>17.63</v>
      </c>
      <c r="G16" s="12">
        <v>85</v>
      </c>
      <c r="H16" s="8">
        <v>7.08</v>
      </c>
      <c r="I16" s="12">
        <v>2</v>
      </c>
    </row>
    <row r="17" spans="2:9" ht="15" customHeight="1" x14ac:dyDescent="0.2">
      <c r="B17" t="s">
        <v>77</v>
      </c>
      <c r="C17" s="12">
        <v>120</v>
      </c>
      <c r="D17" s="8">
        <v>6.26</v>
      </c>
      <c r="E17" s="12">
        <v>80</v>
      </c>
      <c r="F17" s="8">
        <v>11.28</v>
      </c>
      <c r="G17" s="12">
        <v>35</v>
      </c>
      <c r="H17" s="8">
        <v>2.92</v>
      </c>
      <c r="I17" s="12">
        <v>1</v>
      </c>
    </row>
    <row r="18" spans="2:9" ht="15" customHeight="1" x14ac:dyDescent="0.2">
      <c r="B18" t="s">
        <v>78</v>
      </c>
      <c r="C18" s="12">
        <v>144</v>
      </c>
      <c r="D18" s="8">
        <v>7.51</v>
      </c>
      <c r="E18" s="12">
        <v>90</v>
      </c>
      <c r="F18" s="8">
        <v>12.69</v>
      </c>
      <c r="G18" s="12">
        <v>52</v>
      </c>
      <c r="H18" s="8">
        <v>4.33</v>
      </c>
      <c r="I18" s="12">
        <v>0</v>
      </c>
    </row>
    <row r="19" spans="2:9" ht="15" customHeight="1" x14ac:dyDescent="0.2">
      <c r="B19" t="s">
        <v>79</v>
      </c>
      <c r="C19" s="12">
        <v>55</v>
      </c>
      <c r="D19" s="8">
        <v>2.87</v>
      </c>
      <c r="E19" s="12">
        <v>11</v>
      </c>
      <c r="F19" s="8">
        <v>1.55</v>
      </c>
      <c r="G19" s="12">
        <v>44</v>
      </c>
      <c r="H19" s="8">
        <v>3.67</v>
      </c>
      <c r="I19" s="12">
        <v>0</v>
      </c>
    </row>
    <row r="20" spans="2:9" ht="15" customHeight="1" x14ac:dyDescent="0.2">
      <c r="B20" s="9" t="s">
        <v>280</v>
      </c>
      <c r="C20" s="12">
        <f>SUM(LTBL_13214[総数／事業所数])</f>
        <v>1918</v>
      </c>
      <c r="E20" s="12">
        <f>SUBTOTAL(109,LTBL_13214[個人／事業所数])</f>
        <v>709</v>
      </c>
      <c r="G20" s="12">
        <f>SUBTOTAL(109,LTBL_13214[法人／事業所数])</f>
        <v>1200</v>
      </c>
      <c r="I20" s="12">
        <f>SUBTOTAL(109,LTBL_13214[法人以外の団体／事業所数])</f>
        <v>3</v>
      </c>
    </row>
    <row r="21" spans="2:9" ht="15" customHeight="1" x14ac:dyDescent="0.2">
      <c r="E21" s="11">
        <f>LTBL_13214[[#Totals],[個人／事業所数]]/LTBL_13214[[#Totals],[総数／事業所数]]</f>
        <v>0.36965589155370177</v>
      </c>
      <c r="G21" s="11">
        <f>LTBL_13214[[#Totals],[法人／事業所数]]/LTBL_13214[[#Totals],[総数／事業所数]]</f>
        <v>0.6256517205422315</v>
      </c>
      <c r="I21" s="11">
        <f>LTBL_13214[[#Totals],[法人以外の団体／事業所数]]/LTBL_13214[[#Totals],[総数／事業所数]]</f>
        <v>1.5641293013555788E-3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231</v>
      </c>
      <c r="D24" s="8">
        <v>12.04</v>
      </c>
      <c r="E24" s="12">
        <v>25</v>
      </c>
      <c r="F24" s="8">
        <v>3.53</v>
      </c>
      <c r="G24" s="12">
        <v>206</v>
      </c>
      <c r="H24" s="8">
        <v>17.170000000000002</v>
      </c>
      <c r="I24" s="12">
        <v>0</v>
      </c>
    </row>
    <row r="25" spans="2:9" ht="15" customHeight="1" x14ac:dyDescent="0.2">
      <c r="B25" t="s">
        <v>103</v>
      </c>
      <c r="C25" s="12">
        <v>214</v>
      </c>
      <c r="D25" s="8">
        <v>11.16</v>
      </c>
      <c r="E25" s="12">
        <v>162</v>
      </c>
      <c r="F25" s="8">
        <v>22.85</v>
      </c>
      <c r="G25" s="12">
        <v>52</v>
      </c>
      <c r="H25" s="8">
        <v>4.33</v>
      </c>
      <c r="I25" s="12">
        <v>0</v>
      </c>
    </row>
    <row r="26" spans="2:9" ht="15" customHeight="1" x14ac:dyDescent="0.2">
      <c r="B26" t="s">
        <v>104</v>
      </c>
      <c r="C26" s="12">
        <v>164</v>
      </c>
      <c r="D26" s="8">
        <v>8.5500000000000007</v>
      </c>
      <c r="E26" s="12">
        <v>111</v>
      </c>
      <c r="F26" s="8">
        <v>15.66</v>
      </c>
      <c r="G26" s="12">
        <v>53</v>
      </c>
      <c r="H26" s="8">
        <v>4.42</v>
      </c>
      <c r="I26" s="12">
        <v>0</v>
      </c>
    </row>
    <row r="27" spans="2:9" ht="15" customHeight="1" x14ac:dyDescent="0.2">
      <c r="B27" t="s">
        <v>105</v>
      </c>
      <c r="C27" s="12">
        <v>120</v>
      </c>
      <c r="D27" s="8">
        <v>6.26</v>
      </c>
      <c r="E27" s="12">
        <v>80</v>
      </c>
      <c r="F27" s="8">
        <v>11.28</v>
      </c>
      <c r="G27" s="12">
        <v>35</v>
      </c>
      <c r="H27" s="8">
        <v>2.92</v>
      </c>
      <c r="I27" s="12">
        <v>1</v>
      </c>
    </row>
    <row r="28" spans="2:9" ht="15" customHeight="1" x14ac:dyDescent="0.2">
      <c r="B28" t="s">
        <v>106</v>
      </c>
      <c r="C28" s="12">
        <v>111</v>
      </c>
      <c r="D28" s="8">
        <v>5.79</v>
      </c>
      <c r="E28" s="12">
        <v>90</v>
      </c>
      <c r="F28" s="8">
        <v>12.69</v>
      </c>
      <c r="G28" s="12">
        <v>21</v>
      </c>
      <c r="H28" s="8">
        <v>1.75</v>
      </c>
      <c r="I28" s="12">
        <v>0</v>
      </c>
    </row>
    <row r="29" spans="2:9" ht="15" customHeight="1" x14ac:dyDescent="0.2">
      <c r="B29" t="s">
        <v>98</v>
      </c>
      <c r="C29" s="12">
        <v>104</v>
      </c>
      <c r="D29" s="8">
        <v>5.42</v>
      </c>
      <c r="E29" s="12">
        <v>45</v>
      </c>
      <c r="F29" s="8">
        <v>6.35</v>
      </c>
      <c r="G29" s="12">
        <v>59</v>
      </c>
      <c r="H29" s="8">
        <v>4.92</v>
      </c>
      <c r="I29" s="12">
        <v>0</v>
      </c>
    </row>
    <row r="30" spans="2:9" ht="15" customHeight="1" x14ac:dyDescent="0.2">
      <c r="B30" t="s">
        <v>101</v>
      </c>
      <c r="C30" s="12">
        <v>102</v>
      </c>
      <c r="D30" s="8">
        <v>5.32</v>
      </c>
      <c r="E30" s="12">
        <v>45</v>
      </c>
      <c r="F30" s="8">
        <v>6.35</v>
      </c>
      <c r="G30" s="12">
        <v>57</v>
      </c>
      <c r="H30" s="8">
        <v>4.75</v>
      </c>
      <c r="I30" s="12">
        <v>0</v>
      </c>
    </row>
    <row r="31" spans="2:9" ht="15" customHeight="1" x14ac:dyDescent="0.2">
      <c r="B31" t="s">
        <v>88</v>
      </c>
      <c r="C31" s="12">
        <v>78</v>
      </c>
      <c r="D31" s="8">
        <v>4.07</v>
      </c>
      <c r="E31" s="12">
        <v>11</v>
      </c>
      <c r="F31" s="8">
        <v>1.55</v>
      </c>
      <c r="G31" s="12">
        <v>67</v>
      </c>
      <c r="H31" s="8">
        <v>5.58</v>
      </c>
      <c r="I31" s="12">
        <v>0</v>
      </c>
    </row>
    <row r="32" spans="2:9" ht="15" customHeight="1" x14ac:dyDescent="0.2">
      <c r="B32" t="s">
        <v>96</v>
      </c>
      <c r="C32" s="12">
        <v>60</v>
      </c>
      <c r="D32" s="8">
        <v>3.13</v>
      </c>
      <c r="E32" s="12">
        <v>28</v>
      </c>
      <c r="F32" s="8">
        <v>3.95</v>
      </c>
      <c r="G32" s="12">
        <v>32</v>
      </c>
      <c r="H32" s="8">
        <v>2.67</v>
      </c>
      <c r="I32" s="12">
        <v>0</v>
      </c>
    </row>
    <row r="33" spans="2:9" ht="15" customHeight="1" x14ac:dyDescent="0.2">
      <c r="B33" t="s">
        <v>102</v>
      </c>
      <c r="C33" s="12">
        <v>58</v>
      </c>
      <c r="D33" s="8">
        <v>3.02</v>
      </c>
      <c r="E33" s="12">
        <v>16</v>
      </c>
      <c r="F33" s="8">
        <v>2.2599999999999998</v>
      </c>
      <c r="G33" s="12">
        <v>42</v>
      </c>
      <c r="H33" s="8">
        <v>3.5</v>
      </c>
      <c r="I33" s="12">
        <v>0</v>
      </c>
    </row>
    <row r="34" spans="2:9" ht="15" customHeight="1" x14ac:dyDescent="0.2">
      <c r="B34" t="s">
        <v>95</v>
      </c>
      <c r="C34" s="12">
        <v>57</v>
      </c>
      <c r="D34" s="8">
        <v>2.97</v>
      </c>
      <c r="E34" s="12">
        <v>12</v>
      </c>
      <c r="F34" s="8">
        <v>1.69</v>
      </c>
      <c r="G34" s="12">
        <v>45</v>
      </c>
      <c r="H34" s="8">
        <v>3.75</v>
      </c>
      <c r="I34" s="12">
        <v>0</v>
      </c>
    </row>
    <row r="35" spans="2:9" ht="15" customHeight="1" x14ac:dyDescent="0.2">
      <c r="B35" t="s">
        <v>89</v>
      </c>
      <c r="C35" s="12">
        <v>55</v>
      </c>
      <c r="D35" s="8">
        <v>2.87</v>
      </c>
      <c r="E35" s="12">
        <v>16</v>
      </c>
      <c r="F35" s="8">
        <v>2.2599999999999998</v>
      </c>
      <c r="G35" s="12">
        <v>39</v>
      </c>
      <c r="H35" s="8">
        <v>3.25</v>
      </c>
      <c r="I35" s="12">
        <v>0</v>
      </c>
    </row>
    <row r="36" spans="2:9" ht="15" customHeight="1" x14ac:dyDescent="0.2">
      <c r="B36" t="s">
        <v>99</v>
      </c>
      <c r="C36" s="12">
        <v>55</v>
      </c>
      <c r="D36" s="8">
        <v>2.87</v>
      </c>
      <c r="E36" s="12">
        <v>0</v>
      </c>
      <c r="F36" s="8">
        <v>0</v>
      </c>
      <c r="G36" s="12">
        <v>55</v>
      </c>
      <c r="H36" s="8">
        <v>4.58</v>
      </c>
      <c r="I36" s="12">
        <v>0</v>
      </c>
    </row>
    <row r="37" spans="2:9" ht="15" customHeight="1" x14ac:dyDescent="0.2">
      <c r="B37" t="s">
        <v>90</v>
      </c>
      <c r="C37" s="12">
        <v>45</v>
      </c>
      <c r="D37" s="8">
        <v>2.35</v>
      </c>
      <c r="E37" s="12">
        <v>5</v>
      </c>
      <c r="F37" s="8">
        <v>0.71</v>
      </c>
      <c r="G37" s="12">
        <v>40</v>
      </c>
      <c r="H37" s="8">
        <v>3.33</v>
      </c>
      <c r="I37" s="12">
        <v>0</v>
      </c>
    </row>
    <row r="38" spans="2:9" ht="15" customHeight="1" x14ac:dyDescent="0.2">
      <c r="B38" t="s">
        <v>97</v>
      </c>
      <c r="C38" s="12">
        <v>40</v>
      </c>
      <c r="D38" s="8">
        <v>2.09</v>
      </c>
      <c r="E38" s="12">
        <v>11</v>
      </c>
      <c r="F38" s="8">
        <v>1.55</v>
      </c>
      <c r="G38" s="12">
        <v>29</v>
      </c>
      <c r="H38" s="8">
        <v>2.42</v>
      </c>
      <c r="I38" s="12">
        <v>0</v>
      </c>
    </row>
    <row r="39" spans="2:9" ht="15" customHeight="1" x14ac:dyDescent="0.2">
      <c r="B39" t="s">
        <v>132</v>
      </c>
      <c r="C39" s="12">
        <v>33</v>
      </c>
      <c r="D39" s="8">
        <v>1.72</v>
      </c>
      <c r="E39" s="12">
        <v>0</v>
      </c>
      <c r="F39" s="8">
        <v>0</v>
      </c>
      <c r="G39" s="12">
        <v>31</v>
      </c>
      <c r="H39" s="8">
        <v>2.58</v>
      </c>
      <c r="I39" s="12">
        <v>0</v>
      </c>
    </row>
    <row r="40" spans="2:9" ht="15" customHeight="1" x14ac:dyDescent="0.2">
      <c r="B40" t="s">
        <v>91</v>
      </c>
      <c r="C40" s="12">
        <v>31</v>
      </c>
      <c r="D40" s="8">
        <v>1.62</v>
      </c>
      <c r="E40" s="12">
        <v>1</v>
      </c>
      <c r="F40" s="8">
        <v>0.14000000000000001</v>
      </c>
      <c r="G40" s="12">
        <v>30</v>
      </c>
      <c r="H40" s="8">
        <v>2.5</v>
      </c>
      <c r="I40" s="12">
        <v>0</v>
      </c>
    </row>
    <row r="41" spans="2:9" ht="15" customHeight="1" x14ac:dyDescent="0.2">
      <c r="B41" t="s">
        <v>94</v>
      </c>
      <c r="C41" s="12">
        <v>28</v>
      </c>
      <c r="D41" s="8">
        <v>1.46</v>
      </c>
      <c r="E41" s="12">
        <v>5</v>
      </c>
      <c r="F41" s="8">
        <v>0.71</v>
      </c>
      <c r="G41" s="12">
        <v>23</v>
      </c>
      <c r="H41" s="8">
        <v>1.92</v>
      </c>
      <c r="I41" s="12">
        <v>0</v>
      </c>
    </row>
    <row r="42" spans="2:9" ht="15" customHeight="1" x14ac:dyDescent="0.2">
      <c r="B42" t="s">
        <v>107</v>
      </c>
      <c r="C42" s="12">
        <v>25</v>
      </c>
      <c r="D42" s="8">
        <v>1.3</v>
      </c>
      <c r="E42" s="12">
        <v>3</v>
      </c>
      <c r="F42" s="8">
        <v>0.42</v>
      </c>
      <c r="G42" s="12">
        <v>22</v>
      </c>
      <c r="H42" s="8">
        <v>1.83</v>
      </c>
      <c r="I42" s="12">
        <v>0</v>
      </c>
    </row>
    <row r="43" spans="2:9" ht="15" customHeight="1" x14ac:dyDescent="0.2">
      <c r="B43" t="s">
        <v>93</v>
      </c>
      <c r="C43" s="12">
        <v>24</v>
      </c>
      <c r="D43" s="8">
        <v>1.25</v>
      </c>
      <c r="E43" s="12">
        <v>0</v>
      </c>
      <c r="F43" s="8">
        <v>0</v>
      </c>
      <c r="G43" s="12">
        <v>24</v>
      </c>
      <c r="H43" s="8">
        <v>2</v>
      </c>
      <c r="I43" s="12">
        <v>0</v>
      </c>
    </row>
    <row r="44" spans="2:9" ht="15" customHeight="1" x14ac:dyDescent="0.2">
      <c r="B44" t="s">
        <v>115</v>
      </c>
      <c r="C44" s="12">
        <v>24</v>
      </c>
      <c r="D44" s="8">
        <v>1.25</v>
      </c>
      <c r="E44" s="12">
        <v>4</v>
      </c>
      <c r="F44" s="8">
        <v>0.56000000000000005</v>
      </c>
      <c r="G44" s="12">
        <v>19</v>
      </c>
      <c r="H44" s="8">
        <v>1.58</v>
      </c>
      <c r="I44" s="12">
        <v>1</v>
      </c>
    </row>
    <row r="45" spans="2:9" ht="15" customHeight="1" x14ac:dyDescent="0.2">
      <c r="B45" t="s">
        <v>114</v>
      </c>
      <c r="C45" s="12">
        <v>24</v>
      </c>
      <c r="D45" s="8">
        <v>1.25</v>
      </c>
      <c r="E45" s="12">
        <v>10</v>
      </c>
      <c r="F45" s="8">
        <v>1.41</v>
      </c>
      <c r="G45" s="12">
        <v>13</v>
      </c>
      <c r="H45" s="8">
        <v>1.08</v>
      </c>
      <c r="I45" s="12">
        <v>1</v>
      </c>
    </row>
    <row r="48" spans="2:9" ht="33" customHeight="1" x14ac:dyDescent="0.2">
      <c r="B48" t="s">
        <v>282</v>
      </c>
      <c r="C48" s="10" t="s">
        <v>81</v>
      </c>
      <c r="D48" s="10" t="s">
        <v>82</v>
      </c>
      <c r="E48" s="10" t="s">
        <v>83</v>
      </c>
      <c r="F48" s="10" t="s">
        <v>84</v>
      </c>
      <c r="G48" s="10" t="s">
        <v>85</v>
      </c>
      <c r="H48" s="10" t="s">
        <v>86</v>
      </c>
      <c r="I48" s="10" t="s">
        <v>87</v>
      </c>
    </row>
    <row r="49" spans="2:9" ht="15" customHeight="1" x14ac:dyDescent="0.2">
      <c r="B49" t="s">
        <v>162</v>
      </c>
      <c r="C49" s="12">
        <v>125</v>
      </c>
      <c r="D49" s="8">
        <v>6.52</v>
      </c>
      <c r="E49" s="12">
        <v>20</v>
      </c>
      <c r="F49" s="8">
        <v>2.82</v>
      </c>
      <c r="G49" s="12">
        <v>105</v>
      </c>
      <c r="H49" s="8">
        <v>8.75</v>
      </c>
      <c r="I49" s="12">
        <v>0</v>
      </c>
    </row>
    <row r="50" spans="2:9" ht="15" customHeight="1" x14ac:dyDescent="0.2">
      <c r="B50" t="s">
        <v>172</v>
      </c>
      <c r="C50" s="12">
        <v>85</v>
      </c>
      <c r="D50" s="8">
        <v>4.43</v>
      </c>
      <c r="E50" s="12">
        <v>59</v>
      </c>
      <c r="F50" s="8">
        <v>8.32</v>
      </c>
      <c r="G50" s="12">
        <v>26</v>
      </c>
      <c r="H50" s="8">
        <v>2.17</v>
      </c>
      <c r="I50" s="12">
        <v>0</v>
      </c>
    </row>
    <row r="51" spans="2:9" ht="15" customHeight="1" x14ac:dyDescent="0.2">
      <c r="B51" t="s">
        <v>173</v>
      </c>
      <c r="C51" s="12">
        <v>80</v>
      </c>
      <c r="D51" s="8">
        <v>4.17</v>
      </c>
      <c r="E51" s="12">
        <v>56</v>
      </c>
      <c r="F51" s="8">
        <v>7.9</v>
      </c>
      <c r="G51" s="12">
        <v>23</v>
      </c>
      <c r="H51" s="8">
        <v>1.92</v>
      </c>
      <c r="I51" s="12">
        <v>1</v>
      </c>
    </row>
    <row r="52" spans="2:9" ht="15" customHeight="1" x14ac:dyDescent="0.2">
      <c r="B52" t="s">
        <v>175</v>
      </c>
      <c r="C52" s="12">
        <v>71</v>
      </c>
      <c r="D52" s="8">
        <v>3.7</v>
      </c>
      <c r="E52" s="12">
        <v>59</v>
      </c>
      <c r="F52" s="8">
        <v>8.32</v>
      </c>
      <c r="G52" s="12">
        <v>12</v>
      </c>
      <c r="H52" s="8">
        <v>1</v>
      </c>
      <c r="I52" s="12">
        <v>0</v>
      </c>
    </row>
    <row r="53" spans="2:9" ht="15" customHeight="1" x14ac:dyDescent="0.2">
      <c r="B53" t="s">
        <v>169</v>
      </c>
      <c r="C53" s="12">
        <v>65</v>
      </c>
      <c r="D53" s="8">
        <v>3.39</v>
      </c>
      <c r="E53" s="12">
        <v>51</v>
      </c>
      <c r="F53" s="8">
        <v>7.19</v>
      </c>
      <c r="G53" s="12">
        <v>14</v>
      </c>
      <c r="H53" s="8">
        <v>1.17</v>
      </c>
      <c r="I53" s="12">
        <v>0</v>
      </c>
    </row>
    <row r="54" spans="2:9" ht="15" customHeight="1" x14ac:dyDescent="0.2">
      <c r="B54" t="s">
        <v>163</v>
      </c>
      <c r="C54" s="12">
        <v>59</v>
      </c>
      <c r="D54" s="8">
        <v>3.08</v>
      </c>
      <c r="E54" s="12">
        <v>2</v>
      </c>
      <c r="F54" s="8">
        <v>0.28000000000000003</v>
      </c>
      <c r="G54" s="12">
        <v>57</v>
      </c>
      <c r="H54" s="8">
        <v>4.75</v>
      </c>
      <c r="I54" s="12">
        <v>0</v>
      </c>
    </row>
    <row r="55" spans="2:9" ht="15" customHeight="1" x14ac:dyDescent="0.2">
      <c r="B55" t="s">
        <v>168</v>
      </c>
      <c r="C55" s="12">
        <v>54</v>
      </c>
      <c r="D55" s="8">
        <v>2.82</v>
      </c>
      <c r="E55" s="12">
        <v>41</v>
      </c>
      <c r="F55" s="8">
        <v>5.78</v>
      </c>
      <c r="G55" s="12">
        <v>13</v>
      </c>
      <c r="H55" s="8">
        <v>1.08</v>
      </c>
      <c r="I55" s="12">
        <v>0</v>
      </c>
    </row>
    <row r="56" spans="2:9" ht="15" customHeight="1" x14ac:dyDescent="0.2">
      <c r="B56" t="s">
        <v>159</v>
      </c>
      <c r="C56" s="12">
        <v>47</v>
      </c>
      <c r="D56" s="8">
        <v>2.4500000000000002</v>
      </c>
      <c r="E56" s="12">
        <v>25</v>
      </c>
      <c r="F56" s="8">
        <v>3.53</v>
      </c>
      <c r="G56" s="12">
        <v>22</v>
      </c>
      <c r="H56" s="8">
        <v>1.83</v>
      </c>
      <c r="I56" s="12">
        <v>0</v>
      </c>
    </row>
    <row r="57" spans="2:9" ht="15" customHeight="1" x14ac:dyDescent="0.2">
      <c r="B57" t="s">
        <v>161</v>
      </c>
      <c r="C57" s="12">
        <v>42</v>
      </c>
      <c r="D57" s="8">
        <v>2.19</v>
      </c>
      <c r="E57" s="12">
        <v>3</v>
      </c>
      <c r="F57" s="8">
        <v>0.42</v>
      </c>
      <c r="G57" s="12">
        <v>39</v>
      </c>
      <c r="H57" s="8">
        <v>3.25</v>
      </c>
      <c r="I57" s="12">
        <v>0</v>
      </c>
    </row>
    <row r="58" spans="2:9" ht="15" customHeight="1" x14ac:dyDescent="0.2">
      <c r="B58" t="s">
        <v>167</v>
      </c>
      <c r="C58" s="12">
        <v>40</v>
      </c>
      <c r="D58" s="8">
        <v>2.09</v>
      </c>
      <c r="E58" s="12">
        <v>9</v>
      </c>
      <c r="F58" s="8">
        <v>1.27</v>
      </c>
      <c r="G58" s="12">
        <v>31</v>
      </c>
      <c r="H58" s="8">
        <v>2.58</v>
      </c>
      <c r="I58" s="12">
        <v>0</v>
      </c>
    </row>
    <row r="59" spans="2:9" ht="15" customHeight="1" x14ac:dyDescent="0.2">
      <c r="B59" t="s">
        <v>170</v>
      </c>
      <c r="C59" s="12">
        <v>39</v>
      </c>
      <c r="D59" s="8">
        <v>2.0299999999999998</v>
      </c>
      <c r="E59" s="12">
        <v>31</v>
      </c>
      <c r="F59" s="8">
        <v>4.37</v>
      </c>
      <c r="G59" s="12">
        <v>8</v>
      </c>
      <c r="H59" s="8">
        <v>0.67</v>
      </c>
      <c r="I59" s="12">
        <v>0</v>
      </c>
    </row>
    <row r="60" spans="2:9" ht="15" customHeight="1" x14ac:dyDescent="0.2">
      <c r="B60" t="s">
        <v>160</v>
      </c>
      <c r="C60" s="12">
        <v>38</v>
      </c>
      <c r="D60" s="8">
        <v>1.98</v>
      </c>
      <c r="E60" s="12">
        <v>0</v>
      </c>
      <c r="F60" s="8">
        <v>0</v>
      </c>
      <c r="G60" s="12">
        <v>38</v>
      </c>
      <c r="H60" s="8">
        <v>3.17</v>
      </c>
      <c r="I60" s="12">
        <v>0</v>
      </c>
    </row>
    <row r="61" spans="2:9" ht="15" customHeight="1" x14ac:dyDescent="0.2">
      <c r="B61" t="s">
        <v>171</v>
      </c>
      <c r="C61" s="12">
        <v>36</v>
      </c>
      <c r="D61" s="8">
        <v>1.88</v>
      </c>
      <c r="E61" s="12">
        <v>32</v>
      </c>
      <c r="F61" s="8">
        <v>4.51</v>
      </c>
      <c r="G61" s="12">
        <v>4</v>
      </c>
      <c r="H61" s="8">
        <v>0.33</v>
      </c>
      <c r="I61" s="12">
        <v>0</v>
      </c>
    </row>
    <row r="62" spans="2:9" ht="15" customHeight="1" x14ac:dyDescent="0.2">
      <c r="B62" t="s">
        <v>174</v>
      </c>
      <c r="C62" s="12">
        <v>33</v>
      </c>
      <c r="D62" s="8">
        <v>1.72</v>
      </c>
      <c r="E62" s="12">
        <v>28</v>
      </c>
      <c r="F62" s="8">
        <v>3.95</v>
      </c>
      <c r="G62" s="12">
        <v>5</v>
      </c>
      <c r="H62" s="8">
        <v>0.42</v>
      </c>
      <c r="I62" s="12">
        <v>0</v>
      </c>
    </row>
    <row r="63" spans="2:9" ht="15" customHeight="1" x14ac:dyDescent="0.2">
      <c r="B63" t="s">
        <v>199</v>
      </c>
      <c r="C63" s="12">
        <v>32</v>
      </c>
      <c r="D63" s="8">
        <v>1.67</v>
      </c>
      <c r="E63" s="12">
        <v>7</v>
      </c>
      <c r="F63" s="8">
        <v>0.99</v>
      </c>
      <c r="G63" s="12">
        <v>25</v>
      </c>
      <c r="H63" s="8">
        <v>2.08</v>
      </c>
      <c r="I63" s="12">
        <v>0</v>
      </c>
    </row>
    <row r="64" spans="2:9" ht="15" customHeight="1" x14ac:dyDescent="0.2">
      <c r="B64" t="s">
        <v>166</v>
      </c>
      <c r="C64" s="12">
        <v>29</v>
      </c>
      <c r="D64" s="8">
        <v>1.51</v>
      </c>
      <c r="E64" s="12">
        <v>2</v>
      </c>
      <c r="F64" s="8">
        <v>0.28000000000000003</v>
      </c>
      <c r="G64" s="12">
        <v>27</v>
      </c>
      <c r="H64" s="8">
        <v>2.25</v>
      </c>
      <c r="I64" s="12">
        <v>0</v>
      </c>
    </row>
    <row r="65" spans="2:9" ht="15" customHeight="1" x14ac:dyDescent="0.2">
      <c r="B65" t="s">
        <v>225</v>
      </c>
      <c r="C65" s="12">
        <v>29</v>
      </c>
      <c r="D65" s="8">
        <v>1.51</v>
      </c>
      <c r="E65" s="12">
        <v>21</v>
      </c>
      <c r="F65" s="8">
        <v>2.96</v>
      </c>
      <c r="G65" s="12">
        <v>8</v>
      </c>
      <c r="H65" s="8">
        <v>0.67</v>
      </c>
      <c r="I65" s="12">
        <v>0</v>
      </c>
    </row>
    <row r="66" spans="2:9" ht="15" customHeight="1" x14ac:dyDescent="0.2">
      <c r="B66" t="s">
        <v>200</v>
      </c>
      <c r="C66" s="12">
        <v>27</v>
      </c>
      <c r="D66" s="8">
        <v>1.41</v>
      </c>
      <c r="E66" s="12">
        <v>2</v>
      </c>
      <c r="F66" s="8">
        <v>0.28000000000000003</v>
      </c>
      <c r="G66" s="12">
        <v>25</v>
      </c>
      <c r="H66" s="8">
        <v>2.08</v>
      </c>
      <c r="I66" s="12">
        <v>0</v>
      </c>
    </row>
    <row r="67" spans="2:9" ht="15" customHeight="1" x14ac:dyDescent="0.2">
      <c r="B67" t="s">
        <v>206</v>
      </c>
      <c r="C67" s="12">
        <v>25</v>
      </c>
      <c r="D67" s="8">
        <v>1.3</v>
      </c>
      <c r="E67" s="12">
        <v>4</v>
      </c>
      <c r="F67" s="8">
        <v>0.56000000000000005</v>
      </c>
      <c r="G67" s="12">
        <v>21</v>
      </c>
      <c r="H67" s="8">
        <v>1.75</v>
      </c>
      <c r="I67" s="12">
        <v>0</v>
      </c>
    </row>
    <row r="68" spans="2:9" ht="15" customHeight="1" x14ac:dyDescent="0.2">
      <c r="B68" t="s">
        <v>157</v>
      </c>
      <c r="C68" s="12">
        <v>24</v>
      </c>
      <c r="D68" s="8">
        <v>1.25</v>
      </c>
      <c r="E68" s="12">
        <v>1</v>
      </c>
      <c r="F68" s="8">
        <v>0.14000000000000001</v>
      </c>
      <c r="G68" s="12">
        <v>23</v>
      </c>
      <c r="H68" s="8">
        <v>1.92</v>
      </c>
      <c r="I68" s="12">
        <v>0</v>
      </c>
    </row>
    <row r="69" spans="2:9" ht="15" customHeight="1" x14ac:dyDescent="0.2">
      <c r="B69" t="s">
        <v>158</v>
      </c>
      <c r="C69" s="12">
        <v>24</v>
      </c>
      <c r="D69" s="8">
        <v>1.25</v>
      </c>
      <c r="E69" s="12">
        <v>8</v>
      </c>
      <c r="F69" s="8">
        <v>1.1299999999999999</v>
      </c>
      <c r="G69" s="12">
        <v>16</v>
      </c>
      <c r="H69" s="8">
        <v>1.33</v>
      </c>
      <c r="I69" s="12">
        <v>0</v>
      </c>
    </row>
    <row r="70" spans="2:9" ht="15" customHeight="1" x14ac:dyDescent="0.2">
      <c r="B70" t="s">
        <v>191</v>
      </c>
      <c r="C70" s="12">
        <v>24</v>
      </c>
      <c r="D70" s="8">
        <v>1.25</v>
      </c>
      <c r="E70" s="12">
        <v>19</v>
      </c>
      <c r="F70" s="8">
        <v>2.68</v>
      </c>
      <c r="G70" s="12">
        <v>5</v>
      </c>
      <c r="H70" s="8">
        <v>0.42</v>
      </c>
      <c r="I70" s="12">
        <v>0</v>
      </c>
    </row>
    <row r="72" spans="2:9" ht="15" customHeight="1" x14ac:dyDescent="0.2">
      <c r="B72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5332-B164-4D01-A094-031289FD177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132</v>
      </c>
      <c r="D6" s="8">
        <v>8.58</v>
      </c>
      <c r="E6" s="12">
        <v>15</v>
      </c>
      <c r="F6" s="8">
        <v>2.29</v>
      </c>
      <c r="G6" s="12">
        <v>117</v>
      </c>
      <c r="H6" s="8">
        <v>13.3</v>
      </c>
      <c r="I6" s="12">
        <v>0</v>
      </c>
    </row>
    <row r="7" spans="2:9" ht="15" customHeight="1" x14ac:dyDescent="0.2">
      <c r="B7" t="s">
        <v>67</v>
      </c>
      <c r="C7" s="12">
        <v>46</v>
      </c>
      <c r="D7" s="8">
        <v>2.99</v>
      </c>
      <c r="E7" s="12">
        <v>8</v>
      </c>
      <c r="F7" s="8">
        <v>1.22</v>
      </c>
      <c r="G7" s="12">
        <v>38</v>
      </c>
      <c r="H7" s="8">
        <v>4.32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69</v>
      </c>
      <c r="C9" s="12">
        <v>40</v>
      </c>
      <c r="D9" s="8">
        <v>2.6</v>
      </c>
      <c r="E9" s="12">
        <v>1</v>
      </c>
      <c r="F9" s="8">
        <v>0.15</v>
      </c>
      <c r="G9" s="12">
        <v>39</v>
      </c>
      <c r="H9" s="8">
        <v>4.43</v>
      </c>
      <c r="I9" s="12">
        <v>0</v>
      </c>
    </row>
    <row r="10" spans="2:9" ht="15" customHeight="1" x14ac:dyDescent="0.2">
      <c r="B10" t="s">
        <v>70</v>
      </c>
      <c r="C10" s="12">
        <v>10</v>
      </c>
      <c r="D10" s="8">
        <v>0.65</v>
      </c>
      <c r="E10" s="12">
        <v>0</v>
      </c>
      <c r="F10" s="8">
        <v>0</v>
      </c>
      <c r="G10" s="12">
        <v>10</v>
      </c>
      <c r="H10" s="8">
        <v>1.1399999999999999</v>
      </c>
      <c r="I10" s="12">
        <v>0</v>
      </c>
    </row>
    <row r="11" spans="2:9" ht="15" customHeight="1" x14ac:dyDescent="0.2">
      <c r="B11" t="s">
        <v>71</v>
      </c>
      <c r="C11" s="12">
        <v>297</v>
      </c>
      <c r="D11" s="8">
        <v>19.309999999999999</v>
      </c>
      <c r="E11" s="12">
        <v>122</v>
      </c>
      <c r="F11" s="8">
        <v>18.649999999999999</v>
      </c>
      <c r="G11" s="12">
        <v>175</v>
      </c>
      <c r="H11" s="8">
        <v>19.89</v>
      </c>
      <c r="I11" s="12">
        <v>0</v>
      </c>
    </row>
    <row r="12" spans="2:9" ht="15" customHeight="1" x14ac:dyDescent="0.2">
      <c r="B12" t="s">
        <v>72</v>
      </c>
      <c r="C12" s="12">
        <v>5</v>
      </c>
      <c r="D12" s="8">
        <v>0.33</v>
      </c>
      <c r="E12" s="12">
        <v>1</v>
      </c>
      <c r="F12" s="8">
        <v>0.15</v>
      </c>
      <c r="G12" s="12">
        <v>4</v>
      </c>
      <c r="H12" s="8">
        <v>0.45</v>
      </c>
      <c r="I12" s="12">
        <v>0</v>
      </c>
    </row>
    <row r="13" spans="2:9" ht="15" customHeight="1" x14ac:dyDescent="0.2">
      <c r="B13" t="s">
        <v>73</v>
      </c>
      <c r="C13" s="12">
        <v>260</v>
      </c>
      <c r="D13" s="8">
        <v>16.91</v>
      </c>
      <c r="E13" s="12">
        <v>59</v>
      </c>
      <c r="F13" s="8">
        <v>9.02</v>
      </c>
      <c r="G13" s="12">
        <v>201</v>
      </c>
      <c r="H13" s="8">
        <v>22.84</v>
      </c>
      <c r="I13" s="12">
        <v>0</v>
      </c>
    </row>
    <row r="14" spans="2:9" ht="15" customHeight="1" x14ac:dyDescent="0.2">
      <c r="B14" t="s">
        <v>74</v>
      </c>
      <c r="C14" s="12">
        <v>126</v>
      </c>
      <c r="D14" s="8">
        <v>8.19</v>
      </c>
      <c r="E14" s="12">
        <v>45</v>
      </c>
      <c r="F14" s="8">
        <v>6.88</v>
      </c>
      <c r="G14" s="12">
        <v>81</v>
      </c>
      <c r="H14" s="8">
        <v>9.1999999999999993</v>
      </c>
      <c r="I14" s="12">
        <v>0</v>
      </c>
    </row>
    <row r="15" spans="2:9" ht="15" customHeight="1" x14ac:dyDescent="0.2">
      <c r="B15" t="s">
        <v>75</v>
      </c>
      <c r="C15" s="12">
        <v>180</v>
      </c>
      <c r="D15" s="8">
        <v>11.7</v>
      </c>
      <c r="E15" s="12">
        <v>132</v>
      </c>
      <c r="F15" s="8">
        <v>20.18</v>
      </c>
      <c r="G15" s="12">
        <v>48</v>
      </c>
      <c r="H15" s="8">
        <v>5.45</v>
      </c>
      <c r="I15" s="12">
        <v>0</v>
      </c>
    </row>
    <row r="16" spans="2:9" ht="15" customHeight="1" x14ac:dyDescent="0.2">
      <c r="B16" t="s">
        <v>76</v>
      </c>
      <c r="C16" s="12">
        <v>182</v>
      </c>
      <c r="D16" s="8">
        <v>11.83</v>
      </c>
      <c r="E16" s="12">
        <v>124</v>
      </c>
      <c r="F16" s="8">
        <v>18.96</v>
      </c>
      <c r="G16" s="12">
        <v>58</v>
      </c>
      <c r="H16" s="8">
        <v>6.59</v>
      </c>
      <c r="I16" s="12">
        <v>0</v>
      </c>
    </row>
    <row r="17" spans="2:9" ht="15" customHeight="1" x14ac:dyDescent="0.2">
      <c r="B17" t="s">
        <v>77</v>
      </c>
      <c r="C17" s="12">
        <v>82</v>
      </c>
      <c r="D17" s="8">
        <v>5.33</v>
      </c>
      <c r="E17" s="12">
        <v>48</v>
      </c>
      <c r="F17" s="8">
        <v>7.34</v>
      </c>
      <c r="G17" s="12">
        <v>33</v>
      </c>
      <c r="H17" s="8">
        <v>3.75</v>
      </c>
      <c r="I17" s="12">
        <v>0</v>
      </c>
    </row>
    <row r="18" spans="2:9" ht="15" customHeight="1" x14ac:dyDescent="0.2">
      <c r="B18" t="s">
        <v>78</v>
      </c>
      <c r="C18" s="12">
        <v>124</v>
      </c>
      <c r="D18" s="8">
        <v>8.06</v>
      </c>
      <c r="E18" s="12">
        <v>88</v>
      </c>
      <c r="F18" s="8">
        <v>13.46</v>
      </c>
      <c r="G18" s="12">
        <v>36</v>
      </c>
      <c r="H18" s="8">
        <v>4.09</v>
      </c>
      <c r="I18" s="12">
        <v>0</v>
      </c>
    </row>
    <row r="19" spans="2:9" ht="15" customHeight="1" x14ac:dyDescent="0.2">
      <c r="B19" t="s">
        <v>79</v>
      </c>
      <c r="C19" s="12">
        <v>53</v>
      </c>
      <c r="D19" s="8">
        <v>3.45</v>
      </c>
      <c r="E19" s="12">
        <v>11</v>
      </c>
      <c r="F19" s="8">
        <v>1.68</v>
      </c>
      <c r="G19" s="12">
        <v>39</v>
      </c>
      <c r="H19" s="8">
        <v>4.43</v>
      </c>
      <c r="I19" s="12">
        <v>0</v>
      </c>
    </row>
    <row r="20" spans="2:9" ht="15" customHeight="1" x14ac:dyDescent="0.2">
      <c r="B20" s="9" t="s">
        <v>280</v>
      </c>
      <c r="C20" s="12">
        <f>SUM(LTBL_13215[総数／事業所数])</f>
        <v>1538</v>
      </c>
      <c r="E20" s="12">
        <f>SUBTOTAL(109,LTBL_13215[個人／事業所数])</f>
        <v>654</v>
      </c>
      <c r="G20" s="12">
        <f>SUBTOTAL(109,LTBL_13215[法人／事業所数])</f>
        <v>880</v>
      </c>
      <c r="I20" s="12">
        <f>SUBTOTAL(109,LTBL_13215[法人以外の団体／事業所数])</f>
        <v>0</v>
      </c>
    </row>
    <row r="21" spans="2:9" ht="15" customHeight="1" x14ac:dyDescent="0.2">
      <c r="E21" s="11">
        <f>LTBL_13215[[#Totals],[個人／事業所数]]/LTBL_13215[[#Totals],[総数／事業所数]]</f>
        <v>0.42522756827048114</v>
      </c>
      <c r="G21" s="11">
        <f>LTBL_13215[[#Totals],[法人／事業所数]]/LTBL_13215[[#Totals],[総数／事業所数]]</f>
        <v>0.57217165149544869</v>
      </c>
      <c r="I21" s="11">
        <f>LTBL_13215[[#Totals],[法人以外の団体／事業所数]]/LTBL_13215[[#Totals],[総数／事業所数]]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222</v>
      </c>
      <c r="D24" s="8">
        <v>14.43</v>
      </c>
      <c r="E24" s="12">
        <v>54</v>
      </c>
      <c r="F24" s="8">
        <v>8.26</v>
      </c>
      <c r="G24" s="12">
        <v>168</v>
      </c>
      <c r="H24" s="8">
        <v>19.09</v>
      </c>
      <c r="I24" s="12">
        <v>0</v>
      </c>
    </row>
    <row r="25" spans="2:9" ht="15" customHeight="1" x14ac:dyDescent="0.2">
      <c r="B25" t="s">
        <v>103</v>
      </c>
      <c r="C25" s="12">
        <v>168</v>
      </c>
      <c r="D25" s="8">
        <v>10.92</v>
      </c>
      <c r="E25" s="12">
        <v>131</v>
      </c>
      <c r="F25" s="8">
        <v>20.03</v>
      </c>
      <c r="G25" s="12">
        <v>37</v>
      </c>
      <c r="H25" s="8">
        <v>4.2</v>
      </c>
      <c r="I25" s="12">
        <v>0</v>
      </c>
    </row>
    <row r="26" spans="2:9" ht="15" customHeight="1" x14ac:dyDescent="0.2">
      <c r="B26" t="s">
        <v>104</v>
      </c>
      <c r="C26" s="12">
        <v>151</v>
      </c>
      <c r="D26" s="8">
        <v>9.82</v>
      </c>
      <c r="E26" s="12">
        <v>110</v>
      </c>
      <c r="F26" s="8">
        <v>16.82</v>
      </c>
      <c r="G26" s="12">
        <v>41</v>
      </c>
      <c r="H26" s="8">
        <v>4.66</v>
      </c>
      <c r="I26" s="12">
        <v>0</v>
      </c>
    </row>
    <row r="27" spans="2:9" ht="15" customHeight="1" x14ac:dyDescent="0.2">
      <c r="B27" t="s">
        <v>98</v>
      </c>
      <c r="C27" s="12">
        <v>103</v>
      </c>
      <c r="D27" s="8">
        <v>6.7</v>
      </c>
      <c r="E27" s="12">
        <v>57</v>
      </c>
      <c r="F27" s="8">
        <v>8.7200000000000006</v>
      </c>
      <c r="G27" s="12">
        <v>46</v>
      </c>
      <c r="H27" s="8">
        <v>5.23</v>
      </c>
      <c r="I27" s="12">
        <v>0</v>
      </c>
    </row>
    <row r="28" spans="2:9" ht="15" customHeight="1" x14ac:dyDescent="0.2">
      <c r="B28" t="s">
        <v>106</v>
      </c>
      <c r="C28" s="12">
        <v>100</v>
      </c>
      <c r="D28" s="8">
        <v>6.5</v>
      </c>
      <c r="E28" s="12">
        <v>88</v>
      </c>
      <c r="F28" s="8">
        <v>13.46</v>
      </c>
      <c r="G28" s="12">
        <v>12</v>
      </c>
      <c r="H28" s="8">
        <v>1.36</v>
      </c>
      <c r="I28" s="12">
        <v>0</v>
      </c>
    </row>
    <row r="29" spans="2:9" ht="15" customHeight="1" x14ac:dyDescent="0.2">
      <c r="B29" t="s">
        <v>105</v>
      </c>
      <c r="C29" s="12">
        <v>82</v>
      </c>
      <c r="D29" s="8">
        <v>5.33</v>
      </c>
      <c r="E29" s="12">
        <v>48</v>
      </c>
      <c r="F29" s="8">
        <v>7.34</v>
      </c>
      <c r="G29" s="12">
        <v>33</v>
      </c>
      <c r="H29" s="8">
        <v>3.75</v>
      </c>
      <c r="I29" s="12">
        <v>0</v>
      </c>
    </row>
    <row r="30" spans="2:9" ht="15" customHeight="1" x14ac:dyDescent="0.2">
      <c r="B30" t="s">
        <v>101</v>
      </c>
      <c r="C30" s="12">
        <v>79</v>
      </c>
      <c r="D30" s="8">
        <v>5.14</v>
      </c>
      <c r="E30" s="12">
        <v>33</v>
      </c>
      <c r="F30" s="8">
        <v>5.05</v>
      </c>
      <c r="G30" s="12">
        <v>46</v>
      </c>
      <c r="H30" s="8">
        <v>5.23</v>
      </c>
      <c r="I30" s="12">
        <v>0</v>
      </c>
    </row>
    <row r="31" spans="2:9" ht="15" customHeight="1" x14ac:dyDescent="0.2">
      <c r="B31" t="s">
        <v>88</v>
      </c>
      <c r="C31" s="12">
        <v>52</v>
      </c>
      <c r="D31" s="8">
        <v>3.38</v>
      </c>
      <c r="E31" s="12">
        <v>7</v>
      </c>
      <c r="F31" s="8">
        <v>1.07</v>
      </c>
      <c r="G31" s="12">
        <v>45</v>
      </c>
      <c r="H31" s="8">
        <v>5.1100000000000003</v>
      </c>
      <c r="I31" s="12">
        <v>0</v>
      </c>
    </row>
    <row r="32" spans="2:9" ht="15" customHeight="1" x14ac:dyDescent="0.2">
      <c r="B32" t="s">
        <v>96</v>
      </c>
      <c r="C32" s="12">
        <v>50</v>
      </c>
      <c r="D32" s="8">
        <v>3.25</v>
      </c>
      <c r="E32" s="12">
        <v>27</v>
      </c>
      <c r="F32" s="8">
        <v>4.13</v>
      </c>
      <c r="G32" s="12">
        <v>23</v>
      </c>
      <c r="H32" s="8">
        <v>2.61</v>
      </c>
      <c r="I32" s="12">
        <v>0</v>
      </c>
    </row>
    <row r="33" spans="2:9" ht="15" customHeight="1" x14ac:dyDescent="0.2">
      <c r="B33" t="s">
        <v>95</v>
      </c>
      <c r="C33" s="12">
        <v>49</v>
      </c>
      <c r="D33" s="8">
        <v>3.19</v>
      </c>
      <c r="E33" s="12">
        <v>29</v>
      </c>
      <c r="F33" s="8">
        <v>4.43</v>
      </c>
      <c r="G33" s="12">
        <v>20</v>
      </c>
      <c r="H33" s="8">
        <v>2.27</v>
      </c>
      <c r="I33" s="12">
        <v>0</v>
      </c>
    </row>
    <row r="34" spans="2:9" ht="15" customHeight="1" x14ac:dyDescent="0.2">
      <c r="B34" t="s">
        <v>90</v>
      </c>
      <c r="C34" s="12">
        <v>42</v>
      </c>
      <c r="D34" s="8">
        <v>2.73</v>
      </c>
      <c r="E34" s="12">
        <v>2</v>
      </c>
      <c r="F34" s="8">
        <v>0.31</v>
      </c>
      <c r="G34" s="12">
        <v>40</v>
      </c>
      <c r="H34" s="8">
        <v>4.55</v>
      </c>
      <c r="I34" s="12">
        <v>0</v>
      </c>
    </row>
    <row r="35" spans="2:9" ht="15" customHeight="1" x14ac:dyDescent="0.2">
      <c r="B35" t="s">
        <v>102</v>
      </c>
      <c r="C35" s="12">
        <v>41</v>
      </c>
      <c r="D35" s="8">
        <v>2.67</v>
      </c>
      <c r="E35" s="12">
        <v>12</v>
      </c>
      <c r="F35" s="8">
        <v>1.83</v>
      </c>
      <c r="G35" s="12">
        <v>29</v>
      </c>
      <c r="H35" s="8">
        <v>3.3</v>
      </c>
      <c r="I35" s="12">
        <v>0</v>
      </c>
    </row>
    <row r="36" spans="2:9" ht="15" customHeight="1" x14ac:dyDescent="0.2">
      <c r="B36" t="s">
        <v>89</v>
      </c>
      <c r="C36" s="12">
        <v>38</v>
      </c>
      <c r="D36" s="8">
        <v>2.4700000000000002</v>
      </c>
      <c r="E36" s="12">
        <v>6</v>
      </c>
      <c r="F36" s="8">
        <v>0.92</v>
      </c>
      <c r="G36" s="12">
        <v>32</v>
      </c>
      <c r="H36" s="8">
        <v>3.64</v>
      </c>
      <c r="I36" s="12">
        <v>0</v>
      </c>
    </row>
    <row r="37" spans="2:9" ht="15" customHeight="1" x14ac:dyDescent="0.2">
      <c r="B37" t="s">
        <v>99</v>
      </c>
      <c r="C37" s="12">
        <v>33</v>
      </c>
      <c r="D37" s="8">
        <v>2.15</v>
      </c>
      <c r="E37" s="12">
        <v>5</v>
      </c>
      <c r="F37" s="8">
        <v>0.76</v>
      </c>
      <c r="G37" s="12">
        <v>28</v>
      </c>
      <c r="H37" s="8">
        <v>3.18</v>
      </c>
      <c r="I37" s="12">
        <v>0</v>
      </c>
    </row>
    <row r="38" spans="2:9" ht="15" customHeight="1" x14ac:dyDescent="0.2">
      <c r="B38" t="s">
        <v>107</v>
      </c>
      <c r="C38" s="12">
        <v>31</v>
      </c>
      <c r="D38" s="8">
        <v>2.02</v>
      </c>
      <c r="E38" s="12">
        <v>4</v>
      </c>
      <c r="F38" s="8">
        <v>0.61</v>
      </c>
      <c r="G38" s="12">
        <v>27</v>
      </c>
      <c r="H38" s="8">
        <v>3.07</v>
      </c>
      <c r="I38" s="12">
        <v>0</v>
      </c>
    </row>
    <row r="39" spans="2:9" ht="15" customHeight="1" x14ac:dyDescent="0.2">
      <c r="B39" t="s">
        <v>132</v>
      </c>
      <c r="C39" s="12">
        <v>24</v>
      </c>
      <c r="D39" s="8">
        <v>1.56</v>
      </c>
      <c r="E39" s="12">
        <v>0</v>
      </c>
      <c r="F39" s="8">
        <v>0</v>
      </c>
      <c r="G39" s="12">
        <v>24</v>
      </c>
      <c r="H39" s="8">
        <v>2.73</v>
      </c>
      <c r="I39" s="12">
        <v>0</v>
      </c>
    </row>
    <row r="40" spans="2:9" ht="15" customHeight="1" x14ac:dyDescent="0.2">
      <c r="B40" t="s">
        <v>91</v>
      </c>
      <c r="C40" s="12">
        <v>22</v>
      </c>
      <c r="D40" s="8">
        <v>1.43</v>
      </c>
      <c r="E40" s="12">
        <v>0</v>
      </c>
      <c r="F40" s="8">
        <v>0</v>
      </c>
      <c r="G40" s="12">
        <v>22</v>
      </c>
      <c r="H40" s="8">
        <v>2.5</v>
      </c>
      <c r="I40" s="12">
        <v>0</v>
      </c>
    </row>
    <row r="41" spans="2:9" ht="15" customHeight="1" x14ac:dyDescent="0.2">
      <c r="B41" t="s">
        <v>97</v>
      </c>
      <c r="C41" s="12">
        <v>22</v>
      </c>
      <c r="D41" s="8">
        <v>1.43</v>
      </c>
      <c r="E41" s="12">
        <v>4</v>
      </c>
      <c r="F41" s="8">
        <v>0.61</v>
      </c>
      <c r="G41" s="12">
        <v>18</v>
      </c>
      <c r="H41" s="8">
        <v>2.0499999999999998</v>
      </c>
      <c r="I41" s="12">
        <v>0</v>
      </c>
    </row>
    <row r="42" spans="2:9" ht="15" customHeight="1" x14ac:dyDescent="0.2">
      <c r="B42" t="s">
        <v>93</v>
      </c>
      <c r="C42" s="12">
        <v>20</v>
      </c>
      <c r="D42" s="8">
        <v>1.3</v>
      </c>
      <c r="E42" s="12">
        <v>2</v>
      </c>
      <c r="F42" s="8">
        <v>0.31</v>
      </c>
      <c r="G42" s="12">
        <v>18</v>
      </c>
      <c r="H42" s="8">
        <v>2.0499999999999998</v>
      </c>
      <c r="I42" s="12">
        <v>0</v>
      </c>
    </row>
    <row r="43" spans="2:9" ht="15" customHeight="1" x14ac:dyDescent="0.2">
      <c r="B43" t="s">
        <v>94</v>
      </c>
      <c r="C43" s="12">
        <v>20</v>
      </c>
      <c r="D43" s="8">
        <v>1.3</v>
      </c>
      <c r="E43" s="12">
        <v>0</v>
      </c>
      <c r="F43" s="8">
        <v>0</v>
      </c>
      <c r="G43" s="12">
        <v>20</v>
      </c>
      <c r="H43" s="8">
        <v>2.27</v>
      </c>
      <c r="I43" s="12">
        <v>0</v>
      </c>
    </row>
    <row r="44" spans="2:9" ht="15" customHeight="1" x14ac:dyDescent="0.2">
      <c r="B44" t="s">
        <v>115</v>
      </c>
      <c r="C44" s="12">
        <v>20</v>
      </c>
      <c r="D44" s="8">
        <v>1.3</v>
      </c>
      <c r="E44" s="12">
        <v>11</v>
      </c>
      <c r="F44" s="8">
        <v>1.68</v>
      </c>
      <c r="G44" s="12">
        <v>9</v>
      </c>
      <c r="H44" s="8">
        <v>1.02</v>
      </c>
      <c r="I44" s="12">
        <v>0</v>
      </c>
    </row>
    <row r="47" spans="2:9" ht="33" customHeight="1" x14ac:dyDescent="0.2">
      <c r="B47" t="s">
        <v>282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  <c r="I47" s="10" t="s">
        <v>87</v>
      </c>
    </row>
    <row r="48" spans="2:9" ht="15" customHeight="1" x14ac:dyDescent="0.2">
      <c r="B48" t="s">
        <v>162</v>
      </c>
      <c r="C48" s="12">
        <v>123</v>
      </c>
      <c r="D48" s="8">
        <v>8</v>
      </c>
      <c r="E48" s="12">
        <v>47</v>
      </c>
      <c r="F48" s="8">
        <v>7.19</v>
      </c>
      <c r="G48" s="12">
        <v>76</v>
      </c>
      <c r="H48" s="8">
        <v>8.64</v>
      </c>
      <c r="I48" s="12">
        <v>0</v>
      </c>
    </row>
    <row r="49" spans="2:9" ht="15" customHeight="1" x14ac:dyDescent="0.2">
      <c r="B49" t="s">
        <v>172</v>
      </c>
      <c r="C49" s="12">
        <v>73</v>
      </c>
      <c r="D49" s="8">
        <v>4.75</v>
      </c>
      <c r="E49" s="12">
        <v>53</v>
      </c>
      <c r="F49" s="8">
        <v>8.1</v>
      </c>
      <c r="G49" s="12">
        <v>20</v>
      </c>
      <c r="H49" s="8">
        <v>2.27</v>
      </c>
      <c r="I49" s="12">
        <v>0</v>
      </c>
    </row>
    <row r="50" spans="2:9" ht="15" customHeight="1" x14ac:dyDescent="0.2">
      <c r="B50" t="s">
        <v>175</v>
      </c>
      <c r="C50" s="12">
        <v>65</v>
      </c>
      <c r="D50" s="8">
        <v>4.2300000000000004</v>
      </c>
      <c r="E50" s="12">
        <v>59</v>
      </c>
      <c r="F50" s="8">
        <v>9.02</v>
      </c>
      <c r="G50" s="12">
        <v>6</v>
      </c>
      <c r="H50" s="8">
        <v>0.68</v>
      </c>
      <c r="I50" s="12">
        <v>0</v>
      </c>
    </row>
    <row r="51" spans="2:9" ht="15" customHeight="1" x14ac:dyDescent="0.2">
      <c r="B51" t="s">
        <v>163</v>
      </c>
      <c r="C51" s="12">
        <v>55</v>
      </c>
      <c r="D51" s="8">
        <v>3.58</v>
      </c>
      <c r="E51" s="12">
        <v>0</v>
      </c>
      <c r="F51" s="8">
        <v>0</v>
      </c>
      <c r="G51" s="12">
        <v>55</v>
      </c>
      <c r="H51" s="8">
        <v>6.25</v>
      </c>
      <c r="I51" s="12">
        <v>0</v>
      </c>
    </row>
    <row r="52" spans="2:9" ht="15" customHeight="1" x14ac:dyDescent="0.2">
      <c r="B52" t="s">
        <v>168</v>
      </c>
      <c r="C52" s="12">
        <v>55</v>
      </c>
      <c r="D52" s="8">
        <v>3.58</v>
      </c>
      <c r="E52" s="12">
        <v>40</v>
      </c>
      <c r="F52" s="8">
        <v>6.12</v>
      </c>
      <c r="G52" s="12">
        <v>15</v>
      </c>
      <c r="H52" s="8">
        <v>1.7</v>
      </c>
      <c r="I52" s="12">
        <v>0</v>
      </c>
    </row>
    <row r="53" spans="2:9" ht="15" customHeight="1" x14ac:dyDescent="0.2">
      <c r="B53" t="s">
        <v>173</v>
      </c>
      <c r="C53" s="12">
        <v>51</v>
      </c>
      <c r="D53" s="8">
        <v>3.32</v>
      </c>
      <c r="E53" s="12">
        <v>32</v>
      </c>
      <c r="F53" s="8">
        <v>4.8899999999999997</v>
      </c>
      <c r="G53" s="12">
        <v>19</v>
      </c>
      <c r="H53" s="8">
        <v>2.16</v>
      </c>
      <c r="I53" s="12">
        <v>0</v>
      </c>
    </row>
    <row r="54" spans="2:9" ht="15" customHeight="1" x14ac:dyDescent="0.2">
      <c r="B54" t="s">
        <v>159</v>
      </c>
      <c r="C54" s="12">
        <v>41</v>
      </c>
      <c r="D54" s="8">
        <v>2.67</v>
      </c>
      <c r="E54" s="12">
        <v>28</v>
      </c>
      <c r="F54" s="8">
        <v>4.28</v>
      </c>
      <c r="G54" s="12">
        <v>13</v>
      </c>
      <c r="H54" s="8">
        <v>1.48</v>
      </c>
      <c r="I54" s="12">
        <v>0</v>
      </c>
    </row>
    <row r="55" spans="2:9" ht="15" customHeight="1" x14ac:dyDescent="0.2">
      <c r="B55" t="s">
        <v>169</v>
      </c>
      <c r="C55" s="12">
        <v>40</v>
      </c>
      <c r="D55" s="8">
        <v>2.6</v>
      </c>
      <c r="E55" s="12">
        <v>34</v>
      </c>
      <c r="F55" s="8">
        <v>5.2</v>
      </c>
      <c r="G55" s="12">
        <v>6</v>
      </c>
      <c r="H55" s="8">
        <v>0.68</v>
      </c>
      <c r="I55" s="12">
        <v>0</v>
      </c>
    </row>
    <row r="56" spans="2:9" ht="15" customHeight="1" x14ac:dyDescent="0.2">
      <c r="B56" t="s">
        <v>171</v>
      </c>
      <c r="C56" s="12">
        <v>39</v>
      </c>
      <c r="D56" s="8">
        <v>2.54</v>
      </c>
      <c r="E56" s="12">
        <v>36</v>
      </c>
      <c r="F56" s="8">
        <v>5.5</v>
      </c>
      <c r="G56" s="12">
        <v>3</v>
      </c>
      <c r="H56" s="8">
        <v>0.34</v>
      </c>
      <c r="I56" s="12">
        <v>0</v>
      </c>
    </row>
    <row r="57" spans="2:9" ht="15" customHeight="1" x14ac:dyDescent="0.2">
      <c r="B57" t="s">
        <v>161</v>
      </c>
      <c r="C57" s="12">
        <v>38</v>
      </c>
      <c r="D57" s="8">
        <v>2.4700000000000002</v>
      </c>
      <c r="E57" s="12">
        <v>4</v>
      </c>
      <c r="F57" s="8">
        <v>0.61</v>
      </c>
      <c r="G57" s="12">
        <v>34</v>
      </c>
      <c r="H57" s="8">
        <v>3.86</v>
      </c>
      <c r="I57" s="12">
        <v>0</v>
      </c>
    </row>
    <row r="58" spans="2:9" ht="15" customHeight="1" x14ac:dyDescent="0.2">
      <c r="B58" t="s">
        <v>174</v>
      </c>
      <c r="C58" s="12">
        <v>33</v>
      </c>
      <c r="D58" s="8">
        <v>2.15</v>
      </c>
      <c r="E58" s="12">
        <v>29</v>
      </c>
      <c r="F58" s="8">
        <v>4.43</v>
      </c>
      <c r="G58" s="12">
        <v>4</v>
      </c>
      <c r="H58" s="8">
        <v>0.45</v>
      </c>
      <c r="I58" s="12">
        <v>0</v>
      </c>
    </row>
    <row r="59" spans="2:9" ht="15" customHeight="1" x14ac:dyDescent="0.2">
      <c r="B59" t="s">
        <v>199</v>
      </c>
      <c r="C59" s="12">
        <v>28</v>
      </c>
      <c r="D59" s="8">
        <v>1.82</v>
      </c>
      <c r="E59" s="12">
        <v>15</v>
      </c>
      <c r="F59" s="8">
        <v>2.29</v>
      </c>
      <c r="G59" s="12">
        <v>13</v>
      </c>
      <c r="H59" s="8">
        <v>1.48</v>
      </c>
      <c r="I59" s="12">
        <v>0</v>
      </c>
    </row>
    <row r="60" spans="2:9" ht="15" customHeight="1" x14ac:dyDescent="0.2">
      <c r="B60" t="s">
        <v>160</v>
      </c>
      <c r="C60" s="12">
        <v>25</v>
      </c>
      <c r="D60" s="8">
        <v>1.63</v>
      </c>
      <c r="E60" s="12">
        <v>5</v>
      </c>
      <c r="F60" s="8">
        <v>0.76</v>
      </c>
      <c r="G60" s="12">
        <v>20</v>
      </c>
      <c r="H60" s="8">
        <v>2.27</v>
      </c>
      <c r="I60" s="12">
        <v>0</v>
      </c>
    </row>
    <row r="61" spans="2:9" ht="15" customHeight="1" x14ac:dyDescent="0.2">
      <c r="B61" t="s">
        <v>166</v>
      </c>
      <c r="C61" s="12">
        <v>25</v>
      </c>
      <c r="D61" s="8">
        <v>1.63</v>
      </c>
      <c r="E61" s="12">
        <v>1</v>
      </c>
      <c r="F61" s="8">
        <v>0.15</v>
      </c>
      <c r="G61" s="12">
        <v>24</v>
      </c>
      <c r="H61" s="8">
        <v>2.73</v>
      </c>
      <c r="I61" s="12">
        <v>0</v>
      </c>
    </row>
    <row r="62" spans="2:9" ht="15" customHeight="1" x14ac:dyDescent="0.2">
      <c r="B62" t="s">
        <v>170</v>
      </c>
      <c r="C62" s="12">
        <v>23</v>
      </c>
      <c r="D62" s="8">
        <v>1.5</v>
      </c>
      <c r="E62" s="12">
        <v>19</v>
      </c>
      <c r="F62" s="8">
        <v>2.91</v>
      </c>
      <c r="G62" s="12">
        <v>4</v>
      </c>
      <c r="H62" s="8">
        <v>0.45</v>
      </c>
      <c r="I62" s="12">
        <v>0</v>
      </c>
    </row>
    <row r="63" spans="2:9" ht="15" customHeight="1" x14ac:dyDescent="0.2">
      <c r="B63" t="s">
        <v>176</v>
      </c>
      <c r="C63" s="12">
        <v>23</v>
      </c>
      <c r="D63" s="8">
        <v>1.5</v>
      </c>
      <c r="E63" s="12">
        <v>4</v>
      </c>
      <c r="F63" s="8">
        <v>0.61</v>
      </c>
      <c r="G63" s="12">
        <v>19</v>
      </c>
      <c r="H63" s="8">
        <v>2.16</v>
      </c>
      <c r="I63" s="12">
        <v>0</v>
      </c>
    </row>
    <row r="64" spans="2:9" ht="15" customHeight="1" x14ac:dyDescent="0.2">
      <c r="B64" t="s">
        <v>225</v>
      </c>
      <c r="C64" s="12">
        <v>21</v>
      </c>
      <c r="D64" s="8">
        <v>1.37</v>
      </c>
      <c r="E64" s="12">
        <v>13</v>
      </c>
      <c r="F64" s="8">
        <v>1.99</v>
      </c>
      <c r="G64" s="12">
        <v>8</v>
      </c>
      <c r="H64" s="8">
        <v>0.91</v>
      </c>
      <c r="I64" s="12">
        <v>0</v>
      </c>
    </row>
    <row r="65" spans="2:9" ht="15" customHeight="1" x14ac:dyDescent="0.2">
      <c r="B65" t="s">
        <v>167</v>
      </c>
      <c r="C65" s="12">
        <v>20</v>
      </c>
      <c r="D65" s="8">
        <v>1.3</v>
      </c>
      <c r="E65" s="12">
        <v>6</v>
      </c>
      <c r="F65" s="8">
        <v>0.92</v>
      </c>
      <c r="G65" s="12">
        <v>14</v>
      </c>
      <c r="H65" s="8">
        <v>1.59</v>
      </c>
      <c r="I65" s="12">
        <v>0</v>
      </c>
    </row>
    <row r="66" spans="2:9" ht="15" customHeight="1" x14ac:dyDescent="0.2">
      <c r="B66" t="s">
        <v>191</v>
      </c>
      <c r="C66" s="12">
        <v>20</v>
      </c>
      <c r="D66" s="8">
        <v>1.3</v>
      </c>
      <c r="E66" s="12">
        <v>17</v>
      </c>
      <c r="F66" s="8">
        <v>2.6</v>
      </c>
      <c r="G66" s="12">
        <v>3</v>
      </c>
      <c r="H66" s="8">
        <v>0.34</v>
      </c>
      <c r="I66" s="12">
        <v>0</v>
      </c>
    </row>
    <row r="67" spans="2:9" ht="15" customHeight="1" x14ac:dyDescent="0.2">
      <c r="B67" t="s">
        <v>197</v>
      </c>
      <c r="C67" s="12">
        <v>20</v>
      </c>
      <c r="D67" s="8">
        <v>1.3</v>
      </c>
      <c r="E67" s="12">
        <v>6</v>
      </c>
      <c r="F67" s="8">
        <v>0.92</v>
      </c>
      <c r="G67" s="12">
        <v>14</v>
      </c>
      <c r="H67" s="8">
        <v>1.59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B907-3F3C-412B-84D1-0E61F57D34D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123</v>
      </c>
      <c r="D6" s="8">
        <v>13.23</v>
      </c>
      <c r="E6" s="12">
        <v>34</v>
      </c>
      <c r="F6" s="8">
        <v>7.69</v>
      </c>
      <c r="G6" s="12">
        <v>89</v>
      </c>
      <c r="H6" s="8">
        <v>18.46</v>
      </c>
      <c r="I6" s="12">
        <v>0</v>
      </c>
    </row>
    <row r="7" spans="2:9" ht="15" customHeight="1" x14ac:dyDescent="0.2">
      <c r="B7" t="s">
        <v>67</v>
      </c>
      <c r="C7" s="12">
        <v>52</v>
      </c>
      <c r="D7" s="8">
        <v>5.59</v>
      </c>
      <c r="E7" s="12">
        <v>10</v>
      </c>
      <c r="F7" s="8">
        <v>2.2599999999999998</v>
      </c>
      <c r="G7" s="12">
        <v>42</v>
      </c>
      <c r="H7" s="8">
        <v>8.7100000000000009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8</v>
      </c>
      <c r="D9" s="8">
        <v>0.86</v>
      </c>
      <c r="E9" s="12">
        <v>2</v>
      </c>
      <c r="F9" s="8">
        <v>0.45</v>
      </c>
      <c r="G9" s="12">
        <v>6</v>
      </c>
      <c r="H9" s="8">
        <v>1.24</v>
      </c>
      <c r="I9" s="12">
        <v>0</v>
      </c>
    </row>
    <row r="10" spans="2:9" ht="15" customHeight="1" x14ac:dyDescent="0.2">
      <c r="B10" t="s">
        <v>70</v>
      </c>
      <c r="C10" s="12">
        <v>5</v>
      </c>
      <c r="D10" s="8">
        <v>0.54</v>
      </c>
      <c r="E10" s="12">
        <v>0</v>
      </c>
      <c r="F10" s="8">
        <v>0</v>
      </c>
      <c r="G10" s="12">
        <v>5</v>
      </c>
      <c r="H10" s="8">
        <v>1.04</v>
      </c>
      <c r="I10" s="12">
        <v>0</v>
      </c>
    </row>
    <row r="11" spans="2:9" ht="15" customHeight="1" x14ac:dyDescent="0.2">
      <c r="B11" t="s">
        <v>71</v>
      </c>
      <c r="C11" s="12">
        <v>218</v>
      </c>
      <c r="D11" s="8">
        <v>23.44</v>
      </c>
      <c r="E11" s="12">
        <v>85</v>
      </c>
      <c r="F11" s="8">
        <v>19.23</v>
      </c>
      <c r="G11" s="12">
        <v>133</v>
      </c>
      <c r="H11" s="8">
        <v>27.59</v>
      </c>
      <c r="I11" s="12">
        <v>0</v>
      </c>
    </row>
    <row r="12" spans="2:9" ht="15" customHeight="1" x14ac:dyDescent="0.2">
      <c r="B12" t="s">
        <v>72</v>
      </c>
      <c r="C12" s="12">
        <v>6</v>
      </c>
      <c r="D12" s="8">
        <v>0.65</v>
      </c>
      <c r="E12" s="12">
        <v>1</v>
      </c>
      <c r="F12" s="8">
        <v>0.23</v>
      </c>
      <c r="G12" s="12">
        <v>5</v>
      </c>
      <c r="H12" s="8">
        <v>1.04</v>
      </c>
      <c r="I12" s="12">
        <v>0</v>
      </c>
    </row>
    <row r="13" spans="2:9" ht="15" customHeight="1" x14ac:dyDescent="0.2">
      <c r="B13" t="s">
        <v>73</v>
      </c>
      <c r="C13" s="12">
        <v>91</v>
      </c>
      <c r="D13" s="8">
        <v>9.7799999999999994</v>
      </c>
      <c r="E13" s="12">
        <v>11</v>
      </c>
      <c r="F13" s="8">
        <v>2.4900000000000002</v>
      </c>
      <c r="G13" s="12">
        <v>80</v>
      </c>
      <c r="H13" s="8">
        <v>16.600000000000001</v>
      </c>
      <c r="I13" s="12">
        <v>0</v>
      </c>
    </row>
    <row r="14" spans="2:9" ht="15" customHeight="1" x14ac:dyDescent="0.2">
      <c r="B14" t="s">
        <v>74</v>
      </c>
      <c r="C14" s="12">
        <v>42</v>
      </c>
      <c r="D14" s="8">
        <v>4.5199999999999996</v>
      </c>
      <c r="E14" s="12">
        <v>19</v>
      </c>
      <c r="F14" s="8">
        <v>4.3</v>
      </c>
      <c r="G14" s="12">
        <v>22</v>
      </c>
      <c r="H14" s="8">
        <v>4.5599999999999996</v>
      </c>
      <c r="I14" s="12">
        <v>0</v>
      </c>
    </row>
    <row r="15" spans="2:9" ht="15" customHeight="1" x14ac:dyDescent="0.2">
      <c r="B15" t="s">
        <v>75</v>
      </c>
      <c r="C15" s="12">
        <v>147</v>
      </c>
      <c r="D15" s="8">
        <v>15.81</v>
      </c>
      <c r="E15" s="12">
        <v>126</v>
      </c>
      <c r="F15" s="8">
        <v>28.51</v>
      </c>
      <c r="G15" s="12">
        <v>21</v>
      </c>
      <c r="H15" s="8">
        <v>4.3600000000000003</v>
      </c>
      <c r="I15" s="12">
        <v>0</v>
      </c>
    </row>
    <row r="16" spans="2:9" ht="15" customHeight="1" x14ac:dyDescent="0.2">
      <c r="B16" t="s">
        <v>76</v>
      </c>
      <c r="C16" s="12">
        <v>129</v>
      </c>
      <c r="D16" s="8">
        <v>13.87</v>
      </c>
      <c r="E16" s="12">
        <v>98</v>
      </c>
      <c r="F16" s="8">
        <v>22.17</v>
      </c>
      <c r="G16" s="12">
        <v>31</v>
      </c>
      <c r="H16" s="8">
        <v>6.43</v>
      </c>
      <c r="I16" s="12">
        <v>0</v>
      </c>
    </row>
    <row r="17" spans="2:9" ht="15" customHeight="1" x14ac:dyDescent="0.2">
      <c r="B17" t="s">
        <v>77</v>
      </c>
      <c r="C17" s="12">
        <v>31</v>
      </c>
      <c r="D17" s="8">
        <v>3.33</v>
      </c>
      <c r="E17" s="12">
        <v>20</v>
      </c>
      <c r="F17" s="8">
        <v>4.5199999999999996</v>
      </c>
      <c r="G17" s="12">
        <v>7</v>
      </c>
      <c r="H17" s="8">
        <v>1.45</v>
      </c>
      <c r="I17" s="12">
        <v>0</v>
      </c>
    </row>
    <row r="18" spans="2:9" ht="15" customHeight="1" x14ac:dyDescent="0.2">
      <c r="B18" t="s">
        <v>78</v>
      </c>
      <c r="C18" s="12">
        <v>49</v>
      </c>
      <c r="D18" s="8">
        <v>5.27</v>
      </c>
      <c r="E18" s="12">
        <v>31</v>
      </c>
      <c r="F18" s="8">
        <v>7.01</v>
      </c>
      <c r="G18" s="12">
        <v>18</v>
      </c>
      <c r="H18" s="8">
        <v>3.73</v>
      </c>
      <c r="I18" s="12">
        <v>0</v>
      </c>
    </row>
    <row r="19" spans="2:9" ht="15" customHeight="1" x14ac:dyDescent="0.2">
      <c r="B19" t="s">
        <v>79</v>
      </c>
      <c r="C19" s="12">
        <v>29</v>
      </c>
      <c r="D19" s="8">
        <v>3.12</v>
      </c>
      <c r="E19" s="12">
        <v>5</v>
      </c>
      <c r="F19" s="8">
        <v>1.1299999999999999</v>
      </c>
      <c r="G19" s="12">
        <v>23</v>
      </c>
      <c r="H19" s="8">
        <v>4.7699999999999996</v>
      </c>
      <c r="I19" s="12">
        <v>1</v>
      </c>
    </row>
    <row r="20" spans="2:9" ht="15" customHeight="1" x14ac:dyDescent="0.2">
      <c r="B20" s="9" t="s">
        <v>280</v>
      </c>
      <c r="C20" s="12">
        <f>SUM(LTBL_13218[総数／事業所数])</f>
        <v>930</v>
      </c>
      <c r="E20" s="12">
        <f>SUBTOTAL(109,LTBL_13218[個人／事業所数])</f>
        <v>442</v>
      </c>
      <c r="G20" s="12">
        <f>SUBTOTAL(109,LTBL_13218[法人／事業所数])</f>
        <v>482</v>
      </c>
      <c r="I20" s="12">
        <f>SUBTOTAL(109,LTBL_13218[法人以外の団体／事業所数])</f>
        <v>1</v>
      </c>
    </row>
    <row r="21" spans="2:9" ht="15" customHeight="1" x14ac:dyDescent="0.2">
      <c r="E21" s="11">
        <f>LTBL_13218[[#Totals],[個人／事業所数]]/LTBL_13218[[#Totals],[総数／事業所数]]</f>
        <v>0.47526881720430109</v>
      </c>
      <c r="G21" s="11">
        <f>LTBL_13218[[#Totals],[法人／事業所数]]/LTBL_13218[[#Totals],[総数／事業所数]]</f>
        <v>0.51827956989247315</v>
      </c>
      <c r="I21" s="11">
        <f>LTBL_13218[[#Totals],[法人以外の団体／事業所数]]/LTBL_13218[[#Totals],[総数／事業所数]]</f>
        <v>1.0752688172043011E-3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138</v>
      </c>
      <c r="D24" s="8">
        <v>14.84</v>
      </c>
      <c r="E24" s="12">
        <v>123</v>
      </c>
      <c r="F24" s="8">
        <v>27.83</v>
      </c>
      <c r="G24" s="12">
        <v>15</v>
      </c>
      <c r="H24" s="8">
        <v>3.11</v>
      </c>
      <c r="I24" s="12">
        <v>0</v>
      </c>
    </row>
    <row r="25" spans="2:9" ht="15" customHeight="1" x14ac:dyDescent="0.2">
      <c r="B25" t="s">
        <v>104</v>
      </c>
      <c r="C25" s="12">
        <v>109</v>
      </c>
      <c r="D25" s="8">
        <v>11.72</v>
      </c>
      <c r="E25" s="12">
        <v>90</v>
      </c>
      <c r="F25" s="8">
        <v>20.36</v>
      </c>
      <c r="G25" s="12">
        <v>19</v>
      </c>
      <c r="H25" s="8">
        <v>3.94</v>
      </c>
      <c r="I25" s="12">
        <v>0</v>
      </c>
    </row>
    <row r="26" spans="2:9" ht="15" customHeight="1" x14ac:dyDescent="0.2">
      <c r="B26" t="s">
        <v>98</v>
      </c>
      <c r="C26" s="12">
        <v>81</v>
      </c>
      <c r="D26" s="8">
        <v>8.7100000000000009</v>
      </c>
      <c r="E26" s="12">
        <v>33</v>
      </c>
      <c r="F26" s="8">
        <v>7.47</v>
      </c>
      <c r="G26" s="12">
        <v>48</v>
      </c>
      <c r="H26" s="8">
        <v>9.9600000000000009</v>
      </c>
      <c r="I26" s="12">
        <v>0</v>
      </c>
    </row>
    <row r="27" spans="2:9" ht="15" customHeight="1" x14ac:dyDescent="0.2">
      <c r="B27" t="s">
        <v>100</v>
      </c>
      <c r="C27" s="12">
        <v>67</v>
      </c>
      <c r="D27" s="8">
        <v>7.2</v>
      </c>
      <c r="E27" s="12">
        <v>9</v>
      </c>
      <c r="F27" s="8">
        <v>2.04</v>
      </c>
      <c r="G27" s="12">
        <v>58</v>
      </c>
      <c r="H27" s="8">
        <v>12.03</v>
      </c>
      <c r="I27" s="12">
        <v>0</v>
      </c>
    </row>
    <row r="28" spans="2:9" ht="15" customHeight="1" x14ac:dyDescent="0.2">
      <c r="B28" t="s">
        <v>88</v>
      </c>
      <c r="C28" s="12">
        <v>51</v>
      </c>
      <c r="D28" s="8">
        <v>5.48</v>
      </c>
      <c r="E28" s="12">
        <v>15</v>
      </c>
      <c r="F28" s="8">
        <v>3.39</v>
      </c>
      <c r="G28" s="12">
        <v>36</v>
      </c>
      <c r="H28" s="8">
        <v>7.47</v>
      </c>
      <c r="I28" s="12">
        <v>0</v>
      </c>
    </row>
    <row r="29" spans="2:9" ht="15" customHeight="1" x14ac:dyDescent="0.2">
      <c r="B29" t="s">
        <v>106</v>
      </c>
      <c r="C29" s="12">
        <v>41</v>
      </c>
      <c r="D29" s="8">
        <v>4.41</v>
      </c>
      <c r="E29" s="12">
        <v>31</v>
      </c>
      <c r="F29" s="8">
        <v>7.01</v>
      </c>
      <c r="G29" s="12">
        <v>10</v>
      </c>
      <c r="H29" s="8">
        <v>2.0699999999999998</v>
      </c>
      <c r="I29" s="12">
        <v>0</v>
      </c>
    </row>
    <row r="30" spans="2:9" ht="15" customHeight="1" x14ac:dyDescent="0.2">
      <c r="B30" t="s">
        <v>90</v>
      </c>
      <c r="C30" s="12">
        <v>37</v>
      </c>
      <c r="D30" s="8">
        <v>3.98</v>
      </c>
      <c r="E30" s="12">
        <v>7</v>
      </c>
      <c r="F30" s="8">
        <v>1.58</v>
      </c>
      <c r="G30" s="12">
        <v>30</v>
      </c>
      <c r="H30" s="8">
        <v>6.22</v>
      </c>
      <c r="I30" s="12">
        <v>0</v>
      </c>
    </row>
    <row r="31" spans="2:9" ht="15" customHeight="1" x14ac:dyDescent="0.2">
      <c r="B31" t="s">
        <v>89</v>
      </c>
      <c r="C31" s="12">
        <v>35</v>
      </c>
      <c r="D31" s="8">
        <v>3.76</v>
      </c>
      <c r="E31" s="12">
        <v>12</v>
      </c>
      <c r="F31" s="8">
        <v>2.71</v>
      </c>
      <c r="G31" s="12">
        <v>23</v>
      </c>
      <c r="H31" s="8">
        <v>4.7699999999999996</v>
      </c>
      <c r="I31" s="12">
        <v>0</v>
      </c>
    </row>
    <row r="32" spans="2:9" ht="15" customHeight="1" x14ac:dyDescent="0.2">
      <c r="B32" t="s">
        <v>97</v>
      </c>
      <c r="C32" s="12">
        <v>33</v>
      </c>
      <c r="D32" s="8">
        <v>3.55</v>
      </c>
      <c r="E32" s="12">
        <v>15</v>
      </c>
      <c r="F32" s="8">
        <v>3.39</v>
      </c>
      <c r="G32" s="12">
        <v>18</v>
      </c>
      <c r="H32" s="8">
        <v>3.73</v>
      </c>
      <c r="I32" s="12">
        <v>0</v>
      </c>
    </row>
    <row r="33" spans="2:9" ht="15" customHeight="1" x14ac:dyDescent="0.2">
      <c r="B33" t="s">
        <v>95</v>
      </c>
      <c r="C33" s="12">
        <v>32</v>
      </c>
      <c r="D33" s="8">
        <v>3.44</v>
      </c>
      <c r="E33" s="12">
        <v>15</v>
      </c>
      <c r="F33" s="8">
        <v>3.39</v>
      </c>
      <c r="G33" s="12">
        <v>17</v>
      </c>
      <c r="H33" s="8">
        <v>3.53</v>
      </c>
      <c r="I33" s="12">
        <v>0</v>
      </c>
    </row>
    <row r="34" spans="2:9" ht="15" customHeight="1" x14ac:dyDescent="0.2">
      <c r="B34" t="s">
        <v>105</v>
      </c>
      <c r="C34" s="12">
        <v>31</v>
      </c>
      <c r="D34" s="8">
        <v>3.33</v>
      </c>
      <c r="E34" s="12">
        <v>20</v>
      </c>
      <c r="F34" s="8">
        <v>4.5199999999999996</v>
      </c>
      <c r="G34" s="12">
        <v>7</v>
      </c>
      <c r="H34" s="8">
        <v>1.45</v>
      </c>
      <c r="I34" s="12">
        <v>0</v>
      </c>
    </row>
    <row r="35" spans="2:9" ht="15" customHeight="1" x14ac:dyDescent="0.2">
      <c r="B35" t="s">
        <v>96</v>
      </c>
      <c r="C35" s="12">
        <v>26</v>
      </c>
      <c r="D35" s="8">
        <v>2.8</v>
      </c>
      <c r="E35" s="12">
        <v>17</v>
      </c>
      <c r="F35" s="8">
        <v>3.85</v>
      </c>
      <c r="G35" s="12">
        <v>9</v>
      </c>
      <c r="H35" s="8">
        <v>1.87</v>
      </c>
      <c r="I35" s="12">
        <v>0</v>
      </c>
    </row>
    <row r="36" spans="2:9" ht="15" customHeight="1" x14ac:dyDescent="0.2">
      <c r="B36" t="s">
        <v>99</v>
      </c>
      <c r="C36" s="12">
        <v>21</v>
      </c>
      <c r="D36" s="8">
        <v>2.2599999999999998</v>
      </c>
      <c r="E36" s="12">
        <v>1</v>
      </c>
      <c r="F36" s="8">
        <v>0.23</v>
      </c>
      <c r="G36" s="12">
        <v>20</v>
      </c>
      <c r="H36" s="8">
        <v>4.1500000000000004</v>
      </c>
      <c r="I36" s="12">
        <v>0</v>
      </c>
    </row>
    <row r="37" spans="2:9" ht="15" customHeight="1" x14ac:dyDescent="0.2">
      <c r="B37" t="s">
        <v>101</v>
      </c>
      <c r="C37" s="12">
        <v>21</v>
      </c>
      <c r="D37" s="8">
        <v>2.2599999999999998</v>
      </c>
      <c r="E37" s="12">
        <v>14</v>
      </c>
      <c r="F37" s="8">
        <v>3.17</v>
      </c>
      <c r="G37" s="12">
        <v>7</v>
      </c>
      <c r="H37" s="8">
        <v>1.45</v>
      </c>
      <c r="I37" s="12">
        <v>0</v>
      </c>
    </row>
    <row r="38" spans="2:9" ht="15" customHeight="1" x14ac:dyDescent="0.2">
      <c r="B38" t="s">
        <v>102</v>
      </c>
      <c r="C38" s="12">
        <v>20</v>
      </c>
      <c r="D38" s="8">
        <v>2.15</v>
      </c>
      <c r="E38" s="12">
        <v>5</v>
      </c>
      <c r="F38" s="8">
        <v>1.1299999999999999</v>
      </c>
      <c r="G38" s="12">
        <v>14</v>
      </c>
      <c r="H38" s="8">
        <v>2.9</v>
      </c>
      <c r="I38" s="12">
        <v>0</v>
      </c>
    </row>
    <row r="39" spans="2:9" ht="15" customHeight="1" x14ac:dyDescent="0.2">
      <c r="B39" t="s">
        <v>115</v>
      </c>
      <c r="C39" s="12">
        <v>14</v>
      </c>
      <c r="D39" s="8">
        <v>1.51</v>
      </c>
      <c r="E39" s="12">
        <v>3</v>
      </c>
      <c r="F39" s="8">
        <v>0.68</v>
      </c>
      <c r="G39" s="12">
        <v>11</v>
      </c>
      <c r="H39" s="8">
        <v>2.2799999999999998</v>
      </c>
      <c r="I39" s="12">
        <v>0</v>
      </c>
    </row>
    <row r="40" spans="2:9" ht="15" customHeight="1" x14ac:dyDescent="0.2">
      <c r="B40" t="s">
        <v>93</v>
      </c>
      <c r="C40" s="12">
        <v>12</v>
      </c>
      <c r="D40" s="8">
        <v>1.29</v>
      </c>
      <c r="E40" s="12">
        <v>1</v>
      </c>
      <c r="F40" s="8">
        <v>0.23</v>
      </c>
      <c r="G40" s="12">
        <v>11</v>
      </c>
      <c r="H40" s="8">
        <v>2.2799999999999998</v>
      </c>
      <c r="I40" s="12">
        <v>0</v>
      </c>
    </row>
    <row r="41" spans="2:9" ht="15" customHeight="1" x14ac:dyDescent="0.2">
      <c r="B41" t="s">
        <v>133</v>
      </c>
      <c r="C41" s="12">
        <v>12</v>
      </c>
      <c r="D41" s="8">
        <v>1.29</v>
      </c>
      <c r="E41" s="12">
        <v>1</v>
      </c>
      <c r="F41" s="8">
        <v>0.23</v>
      </c>
      <c r="G41" s="12">
        <v>11</v>
      </c>
      <c r="H41" s="8">
        <v>2.2799999999999998</v>
      </c>
      <c r="I41" s="12">
        <v>0</v>
      </c>
    </row>
    <row r="42" spans="2:9" ht="15" customHeight="1" x14ac:dyDescent="0.2">
      <c r="B42" t="s">
        <v>110</v>
      </c>
      <c r="C42" s="12">
        <v>11</v>
      </c>
      <c r="D42" s="8">
        <v>1.18</v>
      </c>
      <c r="E42" s="12">
        <v>1</v>
      </c>
      <c r="F42" s="8">
        <v>0.23</v>
      </c>
      <c r="G42" s="12">
        <v>10</v>
      </c>
      <c r="H42" s="8">
        <v>2.0699999999999998</v>
      </c>
      <c r="I42" s="12">
        <v>0</v>
      </c>
    </row>
    <row r="43" spans="2:9" ht="15" customHeight="1" x14ac:dyDescent="0.2">
      <c r="B43" t="s">
        <v>119</v>
      </c>
      <c r="C43" s="12">
        <v>10</v>
      </c>
      <c r="D43" s="8">
        <v>1.08</v>
      </c>
      <c r="E43" s="12">
        <v>2</v>
      </c>
      <c r="F43" s="8">
        <v>0.45</v>
      </c>
      <c r="G43" s="12">
        <v>8</v>
      </c>
      <c r="H43" s="8">
        <v>1.66</v>
      </c>
      <c r="I43" s="12">
        <v>0</v>
      </c>
    </row>
    <row r="44" spans="2:9" ht="15" customHeight="1" x14ac:dyDescent="0.2">
      <c r="B44" t="s">
        <v>94</v>
      </c>
      <c r="C44" s="12">
        <v>10</v>
      </c>
      <c r="D44" s="8">
        <v>1.08</v>
      </c>
      <c r="E44" s="12">
        <v>1</v>
      </c>
      <c r="F44" s="8">
        <v>0.23</v>
      </c>
      <c r="G44" s="12">
        <v>9</v>
      </c>
      <c r="H44" s="8">
        <v>1.87</v>
      </c>
      <c r="I44" s="12">
        <v>0</v>
      </c>
    </row>
    <row r="47" spans="2:9" ht="33" customHeight="1" x14ac:dyDescent="0.2">
      <c r="B47" t="s">
        <v>282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  <c r="I47" s="10" t="s">
        <v>87</v>
      </c>
    </row>
    <row r="48" spans="2:9" ht="15" customHeight="1" x14ac:dyDescent="0.2">
      <c r="B48" t="s">
        <v>172</v>
      </c>
      <c r="C48" s="12">
        <v>57</v>
      </c>
      <c r="D48" s="8">
        <v>6.13</v>
      </c>
      <c r="E48" s="12">
        <v>49</v>
      </c>
      <c r="F48" s="8">
        <v>11.09</v>
      </c>
      <c r="G48" s="12">
        <v>8</v>
      </c>
      <c r="H48" s="8">
        <v>1.66</v>
      </c>
      <c r="I48" s="12">
        <v>0</v>
      </c>
    </row>
    <row r="49" spans="2:9" ht="15" customHeight="1" x14ac:dyDescent="0.2">
      <c r="B49" t="s">
        <v>168</v>
      </c>
      <c r="C49" s="12">
        <v>44</v>
      </c>
      <c r="D49" s="8">
        <v>4.7300000000000004</v>
      </c>
      <c r="E49" s="12">
        <v>32</v>
      </c>
      <c r="F49" s="8">
        <v>7.24</v>
      </c>
      <c r="G49" s="12">
        <v>12</v>
      </c>
      <c r="H49" s="8">
        <v>2.4900000000000002</v>
      </c>
      <c r="I49" s="12">
        <v>0</v>
      </c>
    </row>
    <row r="50" spans="2:9" ht="15" customHeight="1" x14ac:dyDescent="0.2">
      <c r="B50" t="s">
        <v>169</v>
      </c>
      <c r="C50" s="12">
        <v>42</v>
      </c>
      <c r="D50" s="8">
        <v>4.5199999999999996</v>
      </c>
      <c r="E50" s="12">
        <v>41</v>
      </c>
      <c r="F50" s="8">
        <v>9.2799999999999994</v>
      </c>
      <c r="G50" s="12">
        <v>1</v>
      </c>
      <c r="H50" s="8">
        <v>0.21</v>
      </c>
      <c r="I50" s="12">
        <v>0</v>
      </c>
    </row>
    <row r="51" spans="2:9" ht="15" customHeight="1" x14ac:dyDescent="0.2">
      <c r="B51" t="s">
        <v>162</v>
      </c>
      <c r="C51" s="12">
        <v>35</v>
      </c>
      <c r="D51" s="8">
        <v>3.76</v>
      </c>
      <c r="E51" s="12">
        <v>6</v>
      </c>
      <c r="F51" s="8">
        <v>1.36</v>
      </c>
      <c r="G51" s="12">
        <v>29</v>
      </c>
      <c r="H51" s="8">
        <v>6.02</v>
      </c>
      <c r="I51" s="12">
        <v>0</v>
      </c>
    </row>
    <row r="52" spans="2:9" ht="15" customHeight="1" x14ac:dyDescent="0.2">
      <c r="B52" t="s">
        <v>170</v>
      </c>
      <c r="C52" s="12">
        <v>32</v>
      </c>
      <c r="D52" s="8">
        <v>3.44</v>
      </c>
      <c r="E52" s="12">
        <v>32</v>
      </c>
      <c r="F52" s="8">
        <v>7.24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175</v>
      </c>
      <c r="C53" s="12">
        <v>30</v>
      </c>
      <c r="D53" s="8">
        <v>3.23</v>
      </c>
      <c r="E53" s="12">
        <v>21</v>
      </c>
      <c r="F53" s="8">
        <v>4.75</v>
      </c>
      <c r="G53" s="12">
        <v>9</v>
      </c>
      <c r="H53" s="8">
        <v>1.87</v>
      </c>
      <c r="I53" s="12">
        <v>0</v>
      </c>
    </row>
    <row r="54" spans="2:9" ht="15" customHeight="1" x14ac:dyDescent="0.2">
      <c r="B54" t="s">
        <v>171</v>
      </c>
      <c r="C54" s="12">
        <v>28</v>
      </c>
      <c r="D54" s="8">
        <v>3.01</v>
      </c>
      <c r="E54" s="12">
        <v>27</v>
      </c>
      <c r="F54" s="8">
        <v>6.11</v>
      </c>
      <c r="G54" s="12">
        <v>1</v>
      </c>
      <c r="H54" s="8">
        <v>0.21</v>
      </c>
      <c r="I54" s="12">
        <v>0</v>
      </c>
    </row>
    <row r="55" spans="2:9" ht="15" customHeight="1" x14ac:dyDescent="0.2">
      <c r="B55" t="s">
        <v>159</v>
      </c>
      <c r="C55" s="12">
        <v>27</v>
      </c>
      <c r="D55" s="8">
        <v>2.9</v>
      </c>
      <c r="E55" s="12">
        <v>12</v>
      </c>
      <c r="F55" s="8">
        <v>2.71</v>
      </c>
      <c r="G55" s="12">
        <v>15</v>
      </c>
      <c r="H55" s="8">
        <v>3.11</v>
      </c>
      <c r="I55" s="12">
        <v>0</v>
      </c>
    </row>
    <row r="56" spans="2:9" ht="15" customHeight="1" x14ac:dyDescent="0.2">
      <c r="B56" t="s">
        <v>163</v>
      </c>
      <c r="C56" s="12">
        <v>23</v>
      </c>
      <c r="D56" s="8">
        <v>2.4700000000000002</v>
      </c>
      <c r="E56" s="12">
        <v>0</v>
      </c>
      <c r="F56" s="8">
        <v>0</v>
      </c>
      <c r="G56" s="12">
        <v>23</v>
      </c>
      <c r="H56" s="8">
        <v>4.7699999999999996</v>
      </c>
      <c r="I56" s="12">
        <v>0</v>
      </c>
    </row>
    <row r="57" spans="2:9" ht="15" customHeight="1" x14ac:dyDescent="0.2">
      <c r="B57" t="s">
        <v>192</v>
      </c>
      <c r="C57" s="12">
        <v>20</v>
      </c>
      <c r="D57" s="8">
        <v>2.15</v>
      </c>
      <c r="E57" s="12">
        <v>5</v>
      </c>
      <c r="F57" s="8">
        <v>1.1299999999999999</v>
      </c>
      <c r="G57" s="12">
        <v>15</v>
      </c>
      <c r="H57" s="8">
        <v>3.11</v>
      </c>
      <c r="I57" s="12">
        <v>0</v>
      </c>
    </row>
    <row r="58" spans="2:9" ht="15" customHeight="1" x14ac:dyDescent="0.2">
      <c r="B58" t="s">
        <v>221</v>
      </c>
      <c r="C58" s="12">
        <v>20</v>
      </c>
      <c r="D58" s="8">
        <v>2.15</v>
      </c>
      <c r="E58" s="12">
        <v>11</v>
      </c>
      <c r="F58" s="8">
        <v>2.4900000000000002</v>
      </c>
      <c r="G58" s="12">
        <v>9</v>
      </c>
      <c r="H58" s="8">
        <v>1.87</v>
      </c>
      <c r="I58" s="12">
        <v>0</v>
      </c>
    </row>
    <row r="59" spans="2:9" ht="15" customHeight="1" x14ac:dyDescent="0.2">
      <c r="B59" t="s">
        <v>198</v>
      </c>
      <c r="C59" s="12">
        <v>18</v>
      </c>
      <c r="D59" s="8">
        <v>1.94</v>
      </c>
      <c r="E59" s="12">
        <v>4</v>
      </c>
      <c r="F59" s="8">
        <v>0.9</v>
      </c>
      <c r="G59" s="12">
        <v>14</v>
      </c>
      <c r="H59" s="8">
        <v>2.9</v>
      </c>
      <c r="I59" s="12">
        <v>0</v>
      </c>
    </row>
    <row r="60" spans="2:9" ht="15" customHeight="1" x14ac:dyDescent="0.2">
      <c r="B60" t="s">
        <v>173</v>
      </c>
      <c r="C60" s="12">
        <v>18</v>
      </c>
      <c r="D60" s="8">
        <v>1.94</v>
      </c>
      <c r="E60" s="12">
        <v>15</v>
      </c>
      <c r="F60" s="8">
        <v>3.39</v>
      </c>
      <c r="G60" s="12">
        <v>3</v>
      </c>
      <c r="H60" s="8">
        <v>0.62</v>
      </c>
      <c r="I60" s="12">
        <v>0</v>
      </c>
    </row>
    <row r="61" spans="2:9" ht="15" customHeight="1" x14ac:dyDescent="0.2">
      <c r="B61" t="s">
        <v>167</v>
      </c>
      <c r="C61" s="12">
        <v>16</v>
      </c>
      <c r="D61" s="8">
        <v>1.72</v>
      </c>
      <c r="E61" s="12">
        <v>5</v>
      </c>
      <c r="F61" s="8">
        <v>1.1299999999999999</v>
      </c>
      <c r="G61" s="12">
        <v>10</v>
      </c>
      <c r="H61" s="8">
        <v>2.0699999999999998</v>
      </c>
      <c r="I61" s="12">
        <v>0</v>
      </c>
    </row>
    <row r="62" spans="2:9" ht="15" customHeight="1" x14ac:dyDescent="0.2">
      <c r="B62" t="s">
        <v>199</v>
      </c>
      <c r="C62" s="12">
        <v>15</v>
      </c>
      <c r="D62" s="8">
        <v>1.61</v>
      </c>
      <c r="E62" s="12">
        <v>9</v>
      </c>
      <c r="F62" s="8">
        <v>2.04</v>
      </c>
      <c r="G62" s="12">
        <v>6</v>
      </c>
      <c r="H62" s="8">
        <v>1.24</v>
      </c>
      <c r="I62" s="12">
        <v>0</v>
      </c>
    </row>
    <row r="63" spans="2:9" ht="15" customHeight="1" x14ac:dyDescent="0.2">
      <c r="B63" t="s">
        <v>223</v>
      </c>
      <c r="C63" s="12">
        <v>14</v>
      </c>
      <c r="D63" s="8">
        <v>1.51</v>
      </c>
      <c r="E63" s="12">
        <v>9</v>
      </c>
      <c r="F63" s="8">
        <v>2.04</v>
      </c>
      <c r="G63" s="12">
        <v>5</v>
      </c>
      <c r="H63" s="8">
        <v>1.04</v>
      </c>
      <c r="I63" s="12">
        <v>0</v>
      </c>
    </row>
    <row r="64" spans="2:9" ht="15" customHeight="1" x14ac:dyDescent="0.2">
      <c r="B64" t="s">
        <v>200</v>
      </c>
      <c r="C64" s="12">
        <v>14</v>
      </c>
      <c r="D64" s="8">
        <v>1.51</v>
      </c>
      <c r="E64" s="12">
        <v>3</v>
      </c>
      <c r="F64" s="8">
        <v>0.68</v>
      </c>
      <c r="G64" s="12">
        <v>11</v>
      </c>
      <c r="H64" s="8">
        <v>2.2799999999999998</v>
      </c>
      <c r="I64" s="12">
        <v>0</v>
      </c>
    </row>
    <row r="65" spans="2:9" ht="15" customHeight="1" x14ac:dyDescent="0.2">
      <c r="B65" t="s">
        <v>160</v>
      </c>
      <c r="C65" s="12">
        <v>14</v>
      </c>
      <c r="D65" s="8">
        <v>1.51</v>
      </c>
      <c r="E65" s="12">
        <v>1</v>
      </c>
      <c r="F65" s="8">
        <v>0.23</v>
      </c>
      <c r="G65" s="12">
        <v>13</v>
      </c>
      <c r="H65" s="8">
        <v>2.7</v>
      </c>
      <c r="I65" s="12">
        <v>0</v>
      </c>
    </row>
    <row r="66" spans="2:9" ht="15" customHeight="1" x14ac:dyDescent="0.2">
      <c r="B66" t="s">
        <v>197</v>
      </c>
      <c r="C66" s="12">
        <v>13</v>
      </c>
      <c r="D66" s="8">
        <v>1.4</v>
      </c>
      <c r="E66" s="12">
        <v>7</v>
      </c>
      <c r="F66" s="8">
        <v>1.58</v>
      </c>
      <c r="G66" s="12">
        <v>6</v>
      </c>
      <c r="H66" s="8">
        <v>1.24</v>
      </c>
      <c r="I66" s="12">
        <v>0</v>
      </c>
    </row>
    <row r="67" spans="2:9" ht="15" customHeight="1" x14ac:dyDescent="0.2">
      <c r="B67" t="s">
        <v>158</v>
      </c>
      <c r="C67" s="12">
        <v>12</v>
      </c>
      <c r="D67" s="8">
        <v>1.29</v>
      </c>
      <c r="E67" s="12">
        <v>7</v>
      </c>
      <c r="F67" s="8">
        <v>1.58</v>
      </c>
      <c r="G67" s="12">
        <v>5</v>
      </c>
      <c r="H67" s="8">
        <v>1.04</v>
      </c>
      <c r="I67" s="12">
        <v>0</v>
      </c>
    </row>
    <row r="68" spans="2:9" ht="15" customHeight="1" x14ac:dyDescent="0.2">
      <c r="B68" t="s">
        <v>224</v>
      </c>
      <c r="C68" s="12">
        <v>12</v>
      </c>
      <c r="D68" s="8">
        <v>1.29</v>
      </c>
      <c r="E68" s="12">
        <v>1</v>
      </c>
      <c r="F68" s="8">
        <v>0.23</v>
      </c>
      <c r="G68" s="12">
        <v>11</v>
      </c>
      <c r="H68" s="8">
        <v>2.2799999999999998</v>
      </c>
      <c r="I68" s="12">
        <v>0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A992-473D-4568-89E0-41A0355AE52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217</v>
      </c>
      <c r="D6" s="8">
        <v>17.43</v>
      </c>
      <c r="E6" s="12">
        <v>42</v>
      </c>
      <c r="F6" s="8">
        <v>8.3000000000000007</v>
      </c>
      <c r="G6" s="12">
        <v>175</v>
      </c>
      <c r="H6" s="8">
        <v>23.71</v>
      </c>
      <c r="I6" s="12">
        <v>0</v>
      </c>
    </row>
    <row r="7" spans="2:9" ht="15" customHeight="1" x14ac:dyDescent="0.2">
      <c r="B7" t="s">
        <v>67</v>
      </c>
      <c r="C7" s="12">
        <v>60</v>
      </c>
      <c r="D7" s="8">
        <v>4.82</v>
      </c>
      <c r="E7" s="12">
        <v>10</v>
      </c>
      <c r="F7" s="8">
        <v>1.98</v>
      </c>
      <c r="G7" s="12">
        <v>50</v>
      </c>
      <c r="H7" s="8">
        <v>6.78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33</v>
      </c>
      <c r="D9" s="8">
        <v>2.65</v>
      </c>
      <c r="E9" s="12">
        <v>2</v>
      </c>
      <c r="F9" s="8">
        <v>0.4</v>
      </c>
      <c r="G9" s="12">
        <v>31</v>
      </c>
      <c r="H9" s="8">
        <v>4.2</v>
      </c>
      <c r="I9" s="12">
        <v>0</v>
      </c>
    </row>
    <row r="10" spans="2:9" ht="15" customHeight="1" x14ac:dyDescent="0.2">
      <c r="B10" t="s">
        <v>70</v>
      </c>
      <c r="C10" s="12">
        <v>6</v>
      </c>
      <c r="D10" s="8">
        <v>0.48</v>
      </c>
      <c r="E10" s="12">
        <v>1</v>
      </c>
      <c r="F10" s="8">
        <v>0.2</v>
      </c>
      <c r="G10" s="12">
        <v>5</v>
      </c>
      <c r="H10" s="8">
        <v>0.68</v>
      </c>
      <c r="I10" s="12">
        <v>0</v>
      </c>
    </row>
    <row r="11" spans="2:9" ht="15" customHeight="1" x14ac:dyDescent="0.2">
      <c r="B11" t="s">
        <v>71</v>
      </c>
      <c r="C11" s="12">
        <v>227</v>
      </c>
      <c r="D11" s="8">
        <v>18.23</v>
      </c>
      <c r="E11" s="12">
        <v>89</v>
      </c>
      <c r="F11" s="8">
        <v>17.59</v>
      </c>
      <c r="G11" s="12">
        <v>138</v>
      </c>
      <c r="H11" s="8">
        <v>18.7</v>
      </c>
      <c r="I11" s="12">
        <v>0</v>
      </c>
    </row>
    <row r="12" spans="2:9" ht="15" customHeight="1" x14ac:dyDescent="0.2">
      <c r="B12" t="s">
        <v>72</v>
      </c>
      <c r="C12" s="12">
        <v>6</v>
      </c>
      <c r="D12" s="8">
        <v>0.48</v>
      </c>
      <c r="E12" s="12">
        <v>2</v>
      </c>
      <c r="F12" s="8">
        <v>0.4</v>
      </c>
      <c r="G12" s="12">
        <v>4</v>
      </c>
      <c r="H12" s="8">
        <v>0.54</v>
      </c>
      <c r="I12" s="12">
        <v>0</v>
      </c>
    </row>
    <row r="13" spans="2:9" ht="15" customHeight="1" x14ac:dyDescent="0.2">
      <c r="B13" t="s">
        <v>73</v>
      </c>
      <c r="C13" s="12">
        <v>221</v>
      </c>
      <c r="D13" s="8">
        <v>17.75</v>
      </c>
      <c r="E13" s="12">
        <v>82</v>
      </c>
      <c r="F13" s="8">
        <v>16.21</v>
      </c>
      <c r="G13" s="12">
        <v>139</v>
      </c>
      <c r="H13" s="8">
        <v>18.829999999999998</v>
      </c>
      <c r="I13" s="12">
        <v>0</v>
      </c>
    </row>
    <row r="14" spans="2:9" ht="15" customHeight="1" x14ac:dyDescent="0.2">
      <c r="B14" t="s">
        <v>74</v>
      </c>
      <c r="C14" s="12">
        <v>78</v>
      </c>
      <c r="D14" s="8">
        <v>6.27</v>
      </c>
      <c r="E14" s="12">
        <v>17</v>
      </c>
      <c r="F14" s="8">
        <v>3.36</v>
      </c>
      <c r="G14" s="12">
        <v>61</v>
      </c>
      <c r="H14" s="8">
        <v>8.27</v>
      </c>
      <c r="I14" s="12">
        <v>0</v>
      </c>
    </row>
    <row r="15" spans="2:9" ht="15" customHeight="1" x14ac:dyDescent="0.2">
      <c r="B15" t="s">
        <v>75</v>
      </c>
      <c r="C15" s="12">
        <v>135</v>
      </c>
      <c r="D15" s="8">
        <v>10.84</v>
      </c>
      <c r="E15" s="12">
        <v>101</v>
      </c>
      <c r="F15" s="8">
        <v>19.96</v>
      </c>
      <c r="G15" s="12">
        <v>34</v>
      </c>
      <c r="H15" s="8">
        <v>4.6100000000000003</v>
      </c>
      <c r="I15" s="12">
        <v>0</v>
      </c>
    </row>
    <row r="16" spans="2:9" ht="15" customHeight="1" x14ac:dyDescent="0.2">
      <c r="B16" t="s">
        <v>76</v>
      </c>
      <c r="C16" s="12">
        <v>136</v>
      </c>
      <c r="D16" s="8">
        <v>10.92</v>
      </c>
      <c r="E16" s="12">
        <v>102</v>
      </c>
      <c r="F16" s="8">
        <v>20.16</v>
      </c>
      <c r="G16" s="12">
        <v>34</v>
      </c>
      <c r="H16" s="8">
        <v>4.6100000000000003</v>
      </c>
      <c r="I16" s="12">
        <v>0</v>
      </c>
    </row>
    <row r="17" spans="2:9" ht="15" customHeight="1" x14ac:dyDescent="0.2">
      <c r="B17" t="s">
        <v>77</v>
      </c>
      <c r="C17" s="12">
        <v>35</v>
      </c>
      <c r="D17" s="8">
        <v>2.81</v>
      </c>
      <c r="E17" s="12">
        <v>16</v>
      </c>
      <c r="F17" s="8">
        <v>3.16</v>
      </c>
      <c r="G17" s="12">
        <v>19</v>
      </c>
      <c r="H17" s="8">
        <v>2.57</v>
      </c>
      <c r="I17" s="12">
        <v>0</v>
      </c>
    </row>
    <row r="18" spans="2:9" ht="15" customHeight="1" x14ac:dyDescent="0.2">
      <c r="B18" t="s">
        <v>78</v>
      </c>
      <c r="C18" s="12">
        <v>57</v>
      </c>
      <c r="D18" s="8">
        <v>4.58</v>
      </c>
      <c r="E18" s="12">
        <v>34</v>
      </c>
      <c r="F18" s="8">
        <v>6.72</v>
      </c>
      <c r="G18" s="12">
        <v>23</v>
      </c>
      <c r="H18" s="8">
        <v>3.12</v>
      </c>
      <c r="I18" s="12">
        <v>0</v>
      </c>
    </row>
    <row r="19" spans="2:9" ht="15" customHeight="1" x14ac:dyDescent="0.2">
      <c r="B19" t="s">
        <v>79</v>
      </c>
      <c r="C19" s="12">
        <v>34</v>
      </c>
      <c r="D19" s="8">
        <v>2.73</v>
      </c>
      <c r="E19" s="12">
        <v>8</v>
      </c>
      <c r="F19" s="8">
        <v>1.58</v>
      </c>
      <c r="G19" s="12">
        <v>25</v>
      </c>
      <c r="H19" s="8">
        <v>3.39</v>
      </c>
      <c r="I19" s="12">
        <v>1</v>
      </c>
    </row>
    <row r="20" spans="2:9" ht="15" customHeight="1" x14ac:dyDescent="0.2">
      <c r="B20" s="9" t="s">
        <v>280</v>
      </c>
      <c r="C20" s="12">
        <f>SUM(LTBL_13219[総数／事業所数])</f>
        <v>1245</v>
      </c>
      <c r="E20" s="12">
        <f>SUBTOTAL(109,LTBL_13219[個人／事業所数])</f>
        <v>506</v>
      </c>
      <c r="G20" s="12">
        <f>SUBTOTAL(109,LTBL_13219[法人／事業所数])</f>
        <v>738</v>
      </c>
      <c r="I20" s="12">
        <f>SUBTOTAL(109,LTBL_13219[法人以外の団体／事業所数])</f>
        <v>1</v>
      </c>
    </row>
    <row r="21" spans="2:9" ht="15" customHeight="1" x14ac:dyDescent="0.2">
      <c r="E21" s="11">
        <f>LTBL_13219[[#Totals],[個人／事業所数]]/LTBL_13219[[#Totals],[総数／事業所数]]</f>
        <v>0.40642570281124496</v>
      </c>
      <c r="G21" s="11">
        <f>LTBL_13219[[#Totals],[法人／事業所数]]/LTBL_13219[[#Totals],[総数／事業所数]]</f>
        <v>0.59277108433734937</v>
      </c>
      <c r="I21" s="11">
        <f>LTBL_13219[[#Totals],[法人以外の団体／事業所数]]/LTBL_13219[[#Totals],[総数／事業所数]]</f>
        <v>8.0321285140562252E-4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198</v>
      </c>
      <c r="D24" s="8">
        <v>15.9</v>
      </c>
      <c r="E24" s="12">
        <v>81</v>
      </c>
      <c r="F24" s="8">
        <v>16.010000000000002</v>
      </c>
      <c r="G24" s="12">
        <v>117</v>
      </c>
      <c r="H24" s="8">
        <v>15.85</v>
      </c>
      <c r="I24" s="12">
        <v>0</v>
      </c>
    </row>
    <row r="25" spans="2:9" ht="15" customHeight="1" x14ac:dyDescent="0.2">
      <c r="B25" t="s">
        <v>103</v>
      </c>
      <c r="C25" s="12">
        <v>125</v>
      </c>
      <c r="D25" s="8">
        <v>10.039999999999999</v>
      </c>
      <c r="E25" s="12">
        <v>97</v>
      </c>
      <c r="F25" s="8">
        <v>19.170000000000002</v>
      </c>
      <c r="G25" s="12">
        <v>28</v>
      </c>
      <c r="H25" s="8">
        <v>3.79</v>
      </c>
      <c r="I25" s="12">
        <v>0</v>
      </c>
    </row>
    <row r="26" spans="2:9" ht="15" customHeight="1" x14ac:dyDescent="0.2">
      <c r="B26" t="s">
        <v>104</v>
      </c>
      <c r="C26" s="12">
        <v>109</v>
      </c>
      <c r="D26" s="8">
        <v>8.76</v>
      </c>
      <c r="E26" s="12">
        <v>93</v>
      </c>
      <c r="F26" s="8">
        <v>18.38</v>
      </c>
      <c r="G26" s="12">
        <v>16</v>
      </c>
      <c r="H26" s="8">
        <v>2.17</v>
      </c>
      <c r="I26" s="12">
        <v>0</v>
      </c>
    </row>
    <row r="27" spans="2:9" ht="15" customHeight="1" x14ac:dyDescent="0.2">
      <c r="B27" t="s">
        <v>89</v>
      </c>
      <c r="C27" s="12">
        <v>81</v>
      </c>
      <c r="D27" s="8">
        <v>6.51</v>
      </c>
      <c r="E27" s="12">
        <v>23</v>
      </c>
      <c r="F27" s="8">
        <v>4.55</v>
      </c>
      <c r="G27" s="12">
        <v>58</v>
      </c>
      <c r="H27" s="8">
        <v>7.86</v>
      </c>
      <c r="I27" s="12">
        <v>0</v>
      </c>
    </row>
    <row r="28" spans="2:9" ht="15" customHeight="1" x14ac:dyDescent="0.2">
      <c r="B28" t="s">
        <v>88</v>
      </c>
      <c r="C28" s="12">
        <v>78</v>
      </c>
      <c r="D28" s="8">
        <v>6.27</v>
      </c>
      <c r="E28" s="12">
        <v>11</v>
      </c>
      <c r="F28" s="8">
        <v>2.17</v>
      </c>
      <c r="G28" s="12">
        <v>67</v>
      </c>
      <c r="H28" s="8">
        <v>9.08</v>
      </c>
      <c r="I28" s="12">
        <v>0</v>
      </c>
    </row>
    <row r="29" spans="2:9" ht="15" customHeight="1" x14ac:dyDescent="0.2">
      <c r="B29" t="s">
        <v>90</v>
      </c>
      <c r="C29" s="12">
        <v>58</v>
      </c>
      <c r="D29" s="8">
        <v>4.66</v>
      </c>
      <c r="E29" s="12">
        <v>8</v>
      </c>
      <c r="F29" s="8">
        <v>1.58</v>
      </c>
      <c r="G29" s="12">
        <v>50</v>
      </c>
      <c r="H29" s="8">
        <v>6.78</v>
      </c>
      <c r="I29" s="12">
        <v>0</v>
      </c>
    </row>
    <row r="30" spans="2:9" ht="15" customHeight="1" x14ac:dyDescent="0.2">
      <c r="B30" t="s">
        <v>98</v>
      </c>
      <c r="C30" s="12">
        <v>56</v>
      </c>
      <c r="D30" s="8">
        <v>4.5</v>
      </c>
      <c r="E30" s="12">
        <v>32</v>
      </c>
      <c r="F30" s="8">
        <v>6.32</v>
      </c>
      <c r="G30" s="12">
        <v>24</v>
      </c>
      <c r="H30" s="8">
        <v>3.25</v>
      </c>
      <c r="I30" s="12">
        <v>0</v>
      </c>
    </row>
    <row r="31" spans="2:9" ht="15" customHeight="1" x14ac:dyDescent="0.2">
      <c r="B31" t="s">
        <v>96</v>
      </c>
      <c r="C31" s="12">
        <v>48</v>
      </c>
      <c r="D31" s="8">
        <v>3.86</v>
      </c>
      <c r="E31" s="12">
        <v>27</v>
      </c>
      <c r="F31" s="8">
        <v>5.34</v>
      </c>
      <c r="G31" s="12">
        <v>21</v>
      </c>
      <c r="H31" s="8">
        <v>2.85</v>
      </c>
      <c r="I31" s="12">
        <v>0</v>
      </c>
    </row>
    <row r="32" spans="2:9" ht="15" customHeight="1" x14ac:dyDescent="0.2">
      <c r="B32" t="s">
        <v>106</v>
      </c>
      <c r="C32" s="12">
        <v>43</v>
      </c>
      <c r="D32" s="8">
        <v>3.45</v>
      </c>
      <c r="E32" s="12">
        <v>34</v>
      </c>
      <c r="F32" s="8">
        <v>6.72</v>
      </c>
      <c r="G32" s="12">
        <v>9</v>
      </c>
      <c r="H32" s="8">
        <v>1.22</v>
      </c>
      <c r="I32" s="12">
        <v>0</v>
      </c>
    </row>
    <row r="33" spans="2:9" ht="15" customHeight="1" x14ac:dyDescent="0.2">
      <c r="B33" t="s">
        <v>101</v>
      </c>
      <c r="C33" s="12">
        <v>39</v>
      </c>
      <c r="D33" s="8">
        <v>3.13</v>
      </c>
      <c r="E33" s="12">
        <v>9</v>
      </c>
      <c r="F33" s="8">
        <v>1.78</v>
      </c>
      <c r="G33" s="12">
        <v>30</v>
      </c>
      <c r="H33" s="8">
        <v>4.07</v>
      </c>
      <c r="I33" s="12">
        <v>0</v>
      </c>
    </row>
    <row r="34" spans="2:9" ht="15" customHeight="1" x14ac:dyDescent="0.2">
      <c r="B34" t="s">
        <v>102</v>
      </c>
      <c r="C34" s="12">
        <v>35</v>
      </c>
      <c r="D34" s="8">
        <v>2.81</v>
      </c>
      <c r="E34" s="12">
        <v>8</v>
      </c>
      <c r="F34" s="8">
        <v>1.58</v>
      </c>
      <c r="G34" s="12">
        <v>27</v>
      </c>
      <c r="H34" s="8">
        <v>3.66</v>
      </c>
      <c r="I34" s="12">
        <v>0</v>
      </c>
    </row>
    <row r="35" spans="2:9" ht="15" customHeight="1" x14ac:dyDescent="0.2">
      <c r="B35" t="s">
        <v>105</v>
      </c>
      <c r="C35" s="12">
        <v>35</v>
      </c>
      <c r="D35" s="8">
        <v>2.81</v>
      </c>
      <c r="E35" s="12">
        <v>16</v>
      </c>
      <c r="F35" s="8">
        <v>3.16</v>
      </c>
      <c r="G35" s="12">
        <v>19</v>
      </c>
      <c r="H35" s="8">
        <v>2.57</v>
      </c>
      <c r="I35" s="12">
        <v>0</v>
      </c>
    </row>
    <row r="36" spans="2:9" ht="15" customHeight="1" x14ac:dyDescent="0.2">
      <c r="B36" t="s">
        <v>97</v>
      </c>
      <c r="C36" s="12">
        <v>33</v>
      </c>
      <c r="D36" s="8">
        <v>2.65</v>
      </c>
      <c r="E36" s="12">
        <v>13</v>
      </c>
      <c r="F36" s="8">
        <v>2.57</v>
      </c>
      <c r="G36" s="12">
        <v>20</v>
      </c>
      <c r="H36" s="8">
        <v>2.71</v>
      </c>
      <c r="I36" s="12">
        <v>0</v>
      </c>
    </row>
    <row r="37" spans="2:9" ht="15" customHeight="1" x14ac:dyDescent="0.2">
      <c r="B37" t="s">
        <v>94</v>
      </c>
      <c r="C37" s="12">
        <v>21</v>
      </c>
      <c r="D37" s="8">
        <v>1.69</v>
      </c>
      <c r="E37" s="12">
        <v>6</v>
      </c>
      <c r="F37" s="8">
        <v>1.19</v>
      </c>
      <c r="G37" s="12">
        <v>15</v>
      </c>
      <c r="H37" s="8">
        <v>2.0299999999999998</v>
      </c>
      <c r="I37" s="12">
        <v>0</v>
      </c>
    </row>
    <row r="38" spans="2:9" ht="15" customHeight="1" x14ac:dyDescent="0.2">
      <c r="B38" t="s">
        <v>107</v>
      </c>
      <c r="C38" s="12">
        <v>19</v>
      </c>
      <c r="D38" s="8">
        <v>1.53</v>
      </c>
      <c r="E38" s="12">
        <v>0</v>
      </c>
      <c r="F38" s="8">
        <v>0</v>
      </c>
      <c r="G38" s="12">
        <v>18</v>
      </c>
      <c r="H38" s="8">
        <v>2.44</v>
      </c>
      <c r="I38" s="12">
        <v>1</v>
      </c>
    </row>
    <row r="39" spans="2:9" ht="15" customHeight="1" x14ac:dyDescent="0.2">
      <c r="B39" t="s">
        <v>95</v>
      </c>
      <c r="C39" s="12">
        <v>18</v>
      </c>
      <c r="D39" s="8">
        <v>1.45</v>
      </c>
      <c r="E39" s="12">
        <v>6</v>
      </c>
      <c r="F39" s="8">
        <v>1.19</v>
      </c>
      <c r="G39" s="12">
        <v>12</v>
      </c>
      <c r="H39" s="8">
        <v>1.63</v>
      </c>
      <c r="I39" s="12">
        <v>0</v>
      </c>
    </row>
    <row r="40" spans="2:9" ht="15" customHeight="1" x14ac:dyDescent="0.2">
      <c r="B40" t="s">
        <v>92</v>
      </c>
      <c r="C40" s="12">
        <v>16</v>
      </c>
      <c r="D40" s="8">
        <v>1.29</v>
      </c>
      <c r="E40" s="12">
        <v>1</v>
      </c>
      <c r="F40" s="8">
        <v>0.2</v>
      </c>
      <c r="G40" s="12">
        <v>15</v>
      </c>
      <c r="H40" s="8">
        <v>2.0299999999999998</v>
      </c>
      <c r="I40" s="12">
        <v>0</v>
      </c>
    </row>
    <row r="41" spans="2:9" ht="15" customHeight="1" x14ac:dyDescent="0.2">
      <c r="B41" t="s">
        <v>99</v>
      </c>
      <c r="C41" s="12">
        <v>16</v>
      </c>
      <c r="D41" s="8">
        <v>1.29</v>
      </c>
      <c r="E41" s="12">
        <v>0</v>
      </c>
      <c r="F41" s="8">
        <v>0</v>
      </c>
      <c r="G41" s="12">
        <v>16</v>
      </c>
      <c r="H41" s="8">
        <v>2.17</v>
      </c>
      <c r="I41" s="12">
        <v>0</v>
      </c>
    </row>
    <row r="42" spans="2:9" ht="15" customHeight="1" x14ac:dyDescent="0.2">
      <c r="B42" t="s">
        <v>110</v>
      </c>
      <c r="C42" s="12">
        <v>15</v>
      </c>
      <c r="D42" s="8">
        <v>1.2</v>
      </c>
      <c r="E42" s="12">
        <v>4</v>
      </c>
      <c r="F42" s="8">
        <v>0.79</v>
      </c>
      <c r="G42" s="12">
        <v>11</v>
      </c>
      <c r="H42" s="8">
        <v>1.49</v>
      </c>
      <c r="I42" s="12">
        <v>0</v>
      </c>
    </row>
    <row r="43" spans="2:9" ht="15" customHeight="1" x14ac:dyDescent="0.2">
      <c r="B43" t="s">
        <v>115</v>
      </c>
      <c r="C43" s="12">
        <v>15</v>
      </c>
      <c r="D43" s="8">
        <v>1.2</v>
      </c>
      <c r="E43" s="12">
        <v>7</v>
      </c>
      <c r="F43" s="8">
        <v>1.38</v>
      </c>
      <c r="G43" s="12">
        <v>8</v>
      </c>
      <c r="H43" s="8">
        <v>1.08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131</v>
      </c>
      <c r="D47" s="8">
        <v>10.52</v>
      </c>
      <c r="E47" s="12">
        <v>70</v>
      </c>
      <c r="F47" s="8">
        <v>13.83</v>
      </c>
      <c r="G47" s="12">
        <v>61</v>
      </c>
      <c r="H47" s="8">
        <v>8.27</v>
      </c>
      <c r="I47" s="12">
        <v>0</v>
      </c>
    </row>
    <row r="48" spans="2:9" ht="15" customHeight="1" x14ac:dyDescent="0.2">
      <c r="B48" t="s">
        <v>172</v>
      </c>
      <c r="C48" s="12">
        <v>51</v>
      </c>
      <c r="D48" s="8">
        <v>4.0999999999999996</v>
      </c>
      <c r="E48" s="12">
        <v>45</v>
      </c>
      <c r="F48" s="8">
        <v>8.89</v>
      </c>
      <c r="G48" s="12">
        <v>6</v>
      </c>
      <c r="H48" s="8">
        <v>0.81</v>
      </c>
      <c r="I48" s="12">
        <v>0</v>
      </c>
    </row>
    <row r="49" spans="2:9" ht="15" customHeight="1" x14ac:dyDescent="0.2">
      <c r="B49" t="s">
        <v>163</v>
      </c>
      <c r="C49" s="12">
        <v>46</v>
      </c>
      <c r="D49" s="8">
        <v>3.69</v>
      </c>
      <c r="E49" s="12">
        <v>3</v>
      </c>
      <c r="F49" s="8">
        <v>0.59</v>
      </c>
      <c r="G49" s="12">
        <v>43</v>
      </c>
      <c r="H49" s="8">
        <v>5.83</v>
      </c>
      <c r="I49" s="12">
        <v>0</v>
      </c>
    </row>
    <row r="50" spans="2:9" ht="15" customHeight="1" x14ac:dyDescent="0.2">
      <c r="B50" t="s">
        <v>168</v>
      </c>
      <c r="C50" s="12">
        <v>34</v>
      </c>
      <c r="D50" s="8">
        <v>2.73</v>
      </c>
      <c r="E50" s="12">
        <v>20</v>
      </c>
      <c r="F50" s="8">
        <v>3.95</v>
      </c>
      <c r="G50" s="12">
        <v>14</v>
      </c>
      <c r="H50" s="8">
        <v>1.9</v>
      </c>
      <c r="I50" s="12">
        <v>0</v>
      </c>
    </row>
    <row r="51" spans="2:9" ht="15" customHeight="1" x14ac:dyDescent="0.2">
      <c r="B51" t="s">
        <v>171</v>
      </c>
      <c r="C51" s="12">
        <v>30</v>
      </c>
      <c r="D51" s="8">
        <v>2.41</v>
      </c>
      <c r="E51" s="12">
        <v>28</v>
      </c>
      <c r="F51" s="8">
        <v>5.53</v>
      </c>
      <c r="G51" s="12">
        <v>2</v>
      </c>
      <c r="H51" s="8">
        <v>0.27</v>
      </c>
      <c r="I51" s="12">
        <v>0</v>
      </c>
    </row>
    <row r="52" spans="2:9" ht="15" customHeight="1" x14ac:dyDescent="0.2">
      <c r="B52" t="s">
        <v>175</v>
      </c>
      <c r="C52" s="12">
        <v>29</v>
      </c>
      <c r="D52" s="8">
        <v>2.33</v>
      </c>
      <c r="E52" s="12">
        <v>21</v>
      </c>
      <c r="F52" s="8">
        <v>4.1500000000000004</v>
      </c>
      <c r="G52" s="12">
        <v>8</v>
      </c>
      <c r="H52" s="8">
        <v>1.08</v>
      </c>
      <c r="I52" s="12">
        <v>0</v>
      </c>
    </row>
    <row r="53" spans="2:9" ht="15" customHeight="1" x14ac:dyDescent="0.2">
      <c r="B53" t="s">
        <v>169</v>
      </c>
      <c r="C53" s="12">
        <v>28</v>
      </c>
      <c r="D53" s="8">
        <v>2.25</v>
      </c>
      <c r="E53" s="12">
        <v>23</v>
      </c>
      <c r="F53" s="8">
        <v>4.55</v>
      </c>
      <c r="G53" s="12">
        <v>5</v>
      </c>
      <c r="H53" s="8">
        <v>0.68</v>
      </c>
      <c r="I53" s="12">
        <v>0</v>
      </c>
    </row>
    <row r="54" spans="2:9" ht="15" customHeight="1" x14ac:dyDescent="0.2">
      <c r="B54" t="s">
        <v>200</v>
      </c>
      <c r="C54" s="12">
        <v>27</v>
      </c>
      <c r="D54" s="8">
        <v>2.17</v>
      </c>
      <c r="E54" s="12">
        <v>3</v>
      </c>
      <c r="F54" s="8">
        <v>0.59</v>
      </c>
      <c r="G54" s="12">
        <v>24</v>
      </c>
      <c r="H54" s="8">
        <v>3.25</v>
      </c>
      <c r="I54" s="12">
        <v>0</v>
      </c>
    </row>
    <row r="55" spans="2:9" ht="15" customHeight="1" x14ac:dyDescent="0.2">
      <c r="B55" t="s">
        <v>192</v>
      </c>
      <c r="C55" s="12">
        <v>27</v>
      </c>
      <c r="D55" s="8">
        <v>2.17</v>
      </c>
      <c r="E55" s="12">
        <v>4</v>
      </c>
      <c r="F55" s="8">
        <v>0.79</v>
      </c>
      <c r="G55" s="12">
        <v>23</v>
      </c>
      <c r="H55" s="8">
        <v>3.12</v>
      </c>
      <c r="I55" s="12">
        <v>0</v>
      </c>
    </row>
    <row r="56" spans="2:9" ht="15" customHeight="1" x14ac:dyDescent="0.2">
      <c r="B56" t="s">
        <v>159</v>
      </c>
      <c r="C56" s="12">
        <v>27</v>
      </c>
      <c r="D56" s="8">
        <v>2.17</v>
      </c>
      <c r="E56" s="12">
        <v>18</v>
      </c>
      <c r="F56" s="8">
        <v>3.56</v>
      </c>
      <c r="G56" s="12">
        <v>9</v>
      </c>
      <c r="H56" s="8">
        <v>1.22</v>
      </c>
      <c r="I56" s="12">
        <v>0</v>
      </c>
    </row>
    <row r="57" spans="2:9" ht="15" customHeight="1" x14ac:dyDescent="0.2">
      <c r="B57" t="s">
        <v>173</v>
      </c>
      <c r="C57" s="12">
        <v>25</v>
      </c>
      <c r="D57" s="8">
        <v>2.0099999999999998</v>
      </c>
      <c r="E57" s="12">
        <v>13</v>
      </c>
      <c r="F57" s="8">
        <v>2.57</v>
      </c>
      <c r="G57" s="12">
        <v>12</v>
      </c>
      <c r="H57" s="8">
        <v>1.63</v>
      </c>
      <c r="I57" s="12">
        <v>0</v>
      </c>
    </row>
    <row r="58" spans="2:9" ht="15" customHeight="1" x14ac:dyDescent="0.2">
      <c r="B58" t="s">
        <v>201</v>
      </c>
      <c r="C58" s="12">
        <v>24</v>
      </c>
      <c r="D58" s="8">
        <v>1.93</v>
      </c>
      <c r="E58" s="12">
        <v>4</v>
      </c>
      <c r="F58" s="8">
        <v>0.79</v>
      </c>
      <c r="G58" s="12">
        <v>20</v>
      </c>
      <c r="H58" s="8">
        <v>2.71</v>
      </c>
      <c r="I58" s="12">
        <v>0</v>
      </c>
    </row>
    <row r="59" spans="2:9" ht="15" customHeight="1" x14ac:dyDescent="0.2">
      <c r="B59" t="s">
        <v>170</v>
      </c>
      <c r="C59" s="12">
        <v>24</v>
      </c>
      <c r="D59" s="8">
        <v>1.93</v>
      </c>
      <c r="E59" s="12">
        <v>21</v>
      </c>
      <c r="F59" s="8">
        <v>4.1500000000000004</v>
      </c>
      <c r="G59" s="12">
        <v>3</v>
      </c>
      <c r="H59" s="8">
        <v>0.41</v>
      </c>
      <c r="I59" s="12">
        <v>0</v>
      </c>
    </row>
    <row r="60" spans="2:9" ht="15" customHeight="1" x14ac:dyDescent="0.2">
      <c r="B60" t="s">
        <v>197</v>
      </c>
      <c r="C60" s="12">
        <v>20</v>
      </c>
      <c r="D60" s="8">
        <v>1.61</v>
      </c>
      <c r="E60" s="12">
        <v>13</v>
      </c>
      <c r="F60" s="8">
        <v>2.57</v>
      </c>
      <c r="G60" s="12">
        <v>7</v>
      </c>
      <c r="H60" s="8">
        <v>0.95</v>
      </c>
      <c r="I60" s="12">
        <v>0</v>
      </c>
    </row>
    <row r="61" spans="2:9" ht="15" customHeight="1" x14ac:dyDescent="0.2">
      <c r="B61" t="s">
        <v>158</v>
      </c>
      <c r="C61" s="12">
        <v>19</v>
      </c>
      <c r="D61" s="8">
        <v>1.53</v>
      </c>
      <c r="E61" s="12">
        <v>11</v>
      </c>
      <c r="F61" s="8">
        <v>2.17</v>
      </c>
      <c r="G61" s="12">
        <v>8</v>
      </c>
      <c r="H61" s="8">
        <v>1.08</v>
      </c>
      <c r="I61" s="12">
        <v>0</v>
      </c>
    </row>
    <row r="62" spans="2:9" ht="15" customHeight="1" x14ac:dyDescent="0.2">
      <c r="B62" t="s">
        <v>167</v>
      </c>
      <c r="C62" s="12">
        <v>18</v>
      </c>
      <c r="D62" s="8">
        <v>1.45</v>
      </c>
      <c r="E62" s="12">
        <v>4</v>
      </c>
      <c r="F62" s="8">
        <v>0.79</v>
      </c>
      <c r="G62" s="12">
        <v>14</v>
      </c>
      <c r="H62" s="8">
        <v>1.9</v>
      </c>
      <c r="I62" s="12">
        <v>0</v>
      </c>
    </row>
    <row r="63" spans="2:9" ht="15" customHeight="1" x14ac:dyDescent="0.2">
      <c r="B63" t="s">
        <v>206</v>
      </c>
      <c r="C63" s="12">
        <v>16</v>
      </c>
      <c r="D63" s="8">
        <v>1.29</v>
      </c>
      <c r="E63" s="12">
        <v>3</v>
      </c>
      <c r="F63" s="8">
        <v>0.59</v>
      </c>
      <c r="G63" s="12">
        <v>13</v>
      </c>
      <c r="H63" s="8">
        <v>1.76</v>
      </c>
      <c r="I63" s="12">
        <v>0</v>
      </c>
    </row>
    <row r="64" spans="2:9" ht="15" customHeight="1" x14ac:dyDescent="0.2">
      <c r="B64" t="s">
        <v>208</v>
      </c>
      <c r="C64" s="12">
        <v>16</v>
      </c>
      <c r="D64" s="8">
        <v>1.29</v>
      </c>
      <c r="E64" s="12">
        <v>3</v>
      </c>
      <c r="F64" s="8">
        <v>0.59</v>
      </c>
      <c r="G64" s="12">
        <v>13</v>
      </c>
      <c r="H64" s="8">
        <v>1.76</v>
      </c>
      <c r="I64" s="12">
        <v>0</v>
      </c>
    </row>
    <row r="65" spans="2:9" ht="15" customHeight="1" x14ac:dyDescent="0.2">
      <c r="B65" t="s">
        <v>221</v>
      </c>
      <c r="C65" s="12">
        <v>16</v>
      </c>
      <c r="D65" s="8">
        <v>1.29</v>
      </c>
      <c r="E65" s="12">
        <v>3</v>
      </c>
      <c r="F65" s="8">
        <v>0.59</v>
      </c>
      <c r="G65" s="12">
        <v>13</v>
      </c>
      <c r="H65" s="8">
        <v>1.76</v>
      </c>
      <c r="I65" s="12">
        <v>0</v>
      </c>
    </row>
    <row r="66" spans="2:9" ht="15" customHeight="1" x14ac:dyDescent="0.2">
      <c r="B66" t="s">
        <v>166</v>
      </c>
      <c r="C66" s="12">
        <v>16</v>
      </c>
      <c r="D66" s="8">
        <v>1.29</v>
      </c>
      <c r="E66" s="12">
        <v>0</v>
      </c>
      <c r="F66" s="8">
        <v>0</v>
      </c>
      <c r="G66" s="12">
        <v>16</v>
      </c>
      <c r="H66" s="8">
        <v>2.17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A88A-F341-4A75-B4F1-523BF5D9FB6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326</v>
      </c>
      <c r="D6" s="8">
        <v>22.19</v>
      </c>
      <c r="E6" s="12">
        <v>59</v>
      </c>
      <c r="F6" s="8">
        <v>9.66</v>
      </c>
      <c r="G6" s="12">
        <v>267</v>
      </c>
      <c r="H6" s="8">
        <v>31.64</v>
      </c>
      <c r="I6" s="12">
        <v>0</v>
      </c>
    </row>
    <row r="7" spans="2:9" ht="15" customHeight="1" x14ac:dyDescent="0.2">
      <c r="B7" t="s">
        <v>67</v>
      </c>
      <c r="C7" s="12">
        <v>83</v>
      </c>
      <c r="D7" s="8">
        <v>5.65</v>
      </c>
      <c r="E7" s="12">
        <v>19</v>
      </c>
      <c r="F7" s="8">
        <v>3.11</v>
      </c>
      <c r="G7" s="12">
        <v>64</v>
      </c>
      <c r="H7" s="8">
        <v>7.58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13</v>
      </c>
      <c r="D9" s="8">
        <v>0.88</v>
      </c>
      <c r="E9" s="12">
        <v>1</v>
      </c>
      <c r="F9" s="8">
        <v>0.16</v>
      </c>
      <c r="G9" s="12">
        <v>12</v>
      </c>
      <c r="H9" s="8">
        <v>1.42</v>
      </c>
      <c r="I9" s="12">
        <v>0</v>
      </c>
    </row>
    <row r="10" spans="2:9" ht="15" customHeight="1" x14ac:dyDescent="0.2">
      <c r="B10" t="s">
        <v>70</v>
      </c>
      <c r="C10" s="12">
        <v>14</v>
      </c>
      <c r="D10" s="8">
        <v>0.95</v>
      </c>
      <c r="E10" s="12">
        <v>5</v>
      </c>
      <c r="F10" s="8">
        <v>0.82</v>
      </c>
      <c r="G10" s="12">
        <v>9</v>
      </c>
      <c r="H10" s="8">
        <v>1.07</v>
      </c>
      <c r="I10" s="12">
        <v>0</v>
      </c>
    </row>
    <row r="11" spans="2:9" ht="15" customHeight="1" x14ac:dyDescent="0.2">
      <c r="B11" t="s">
        <v>71</v>
      </c>
      <c r="C11" s="12">
        <v>263</v>
      </c>
      <c r="D11" s="8">
        <v>17.899999999999999</v>
      </c>
      <c r="E11" s="12">
        <v>116</v>
      </c>
      <c r="F11" s="8">
        <v>18.989999999999998</v>
      </c>
      <c r="G11" s="12">
        <v>147</v>
      </c>
      <c r="H11" s="8">
        <v>17.420000000000002</v>
      </c>
      <c r="I11" s="12">
        <v>0</v>
      </c>
    </row>
    <row r="12" spans="2:9" ht="15" customHeight="1" x14ac:dyDescent="0.2">
      <c r="B12" t="s">
        <v>72</v>
      </c>
      <c r="C12" s="12">
        <v>6</v>
      </c>
      <c r="D12" s="8">
        <v>0.41</v>
      </c>
      <c r="E12" s="12">
        <v>1</v>
      </c>
      <c r="F12" s="8">
        <v>0.16</v>
      </c>
      <c r="G12" s="12">
        <v>5</v>
      </c>
      <c r="H12" s="8">
        <v>0.59</v>
      </c>
      <c r="I12" s="12">
        <v>0</v>
      </c>
    </row>
    <row r="13" spans="2:9" ht="15" customHeight="1" x14ac:dyDescent="0.2">
      <c r="B13" t="s">
        <v>73</v>
      </c>
      <c r="C13" s="12">
        <v>140</v>
      </c>
      <c r="D13" s="8">
        <v>9.5299999999999994</v>
      </c>
      <c r="E13" s="12">
        <v>4</v>
      </c>
      <c r="F13" s="8">
        <v>0.65</v>
      </c>
      <c r="G13" s="12">
        <v>136</v>
      </c>
      <c r="H13" s="8">
        <v>16.11</v>
      </c>
      <c r="I13" s="12">
        <v>0</v>
      </c>
    </row>
    <row r="14" spans="2:9" ht="15" customHeight="1" x14ac:dyDescent="0.2">
      <c r="B14" t="s">
        <v>74</v>
      </c>
      <c r="C14" s="12">
        <v>85</v>
      </c>
      <c r="D14" s="8">
        <v>5.79</v>
      </c>
      <c r="E14" s="12">
        <v>39</v>
      </c>
      <c r="F14" s="8">
        <v>6.38</v>
      </c>
      <c r="G14" s="12">
        <v>46</v>
      </c>
      <c r="H14" s="8">
        <v>5.45</v>
      </c>
      <c r="I14" s="12">
        <v>0</v>
      </c>
    </row>
    <row r="15" spans="2:9" ht="15" customHeight="1" x14ac:dyDescent="0.2">
      <c r="B15" t="s">
        <v>75</v>
      </c>
      <c r="C15" s="12">
        <v>163</v>
      </c>
      <c r="D15" s="8">
        <v>11.1</v>
      </c>
      <c r="E15" s="12">
        <v>128</v>
      </c>
      <c r="F15" s="8">
        <v>20.95</v>
      </c>
      <c r="G15" s="12">
        <v>35</v>
      </c>
      <c r="H15" s="8">
        <v>4.1500000000000004</v>
      </c>
      <c r="I15" s="12">
        <v>0</v>
      </c>
    </row>
    <row r="16" spans="2:9" ht="15" customHeight="1" x14ac:dyDescent="0.2">
      <c r="B16" t="s">
        <v>76</v>
      </c>
      <c r="C16" s="12">
        <v>169</v>
      </c>
      <c r="D16" s="8">
        <v>11.5</v>
      </c>
      <c r="E16" s="12">
        <v>126</v>
      </c>
      <c r="F16" s="8">
        <v>20.62</v>
      </c>
      <c r="G16" s="12">
        <v>43</v>
      </c>
      <c r="H16" s="8">
        <v>5.09</v>
      </c>
      <c r="I16" s="12">
        <v>0</v>
      </c>
    </row>
    <row r="17" spans="2:9" ht="15" customHeight="1" x14ac:dyDescent="0.2">
      <c r="B17" t="s">
        <v>77</v>
      </c>
      <c r="C17" s="12">
        <v>70</v>
      </c>
      <c r="D17" s="8">
        <v>4.7699999999999996</v>
      </c>
      <c r="E17" s="12">
        <v>48</v>
      </c>
      <c r="F17" s="8">
        <v>7.86</v>
      </c>
      <c r="G17" s="12">
        <v>15</v>
      </c>
      <c r="H17" s="8">
        <v>1.78</v>
      </c>
      <c r="I17" s="12">
        <v>0</v>
      </c>
    </row>
    <row r="18" spans="2:9" ht="15" customHeight="1" x14ac:dyDescent="0.2">
      <c r="B18" t="s">
        <v>78</v>
      </c>
      <c r="C18" s="12">
        <v>79</v>
      </c>
      <c r="D18" s="8">
        <v>5.38</v>
      </c>
      <c r="E18" s="12">
        <v>52</v>
      </c>
      <c r="F18" s="8">
        <v>8.51</v>
      </c>
      <c r="G18" s="12">
        <v>23</v>
      </c>
      <c r="H18" s="8">
        <v>2.73</v>
      </c>
      <c r="I18" s="12">
        <v>0</v>
      </c>
    </row>
    <row r="19" spans="2:9" ht="15" customHeight="1" x14ac:dyDescent="0.2">
      <c r="B19" t="s">
        <v>79</v>
      </c>
      <c r="C19" s="12">
        <v>58</v>
      </c>
      <c r="D19" s="8">
        <v>3.95</v>
      </c>
      <c r="E19" s="12">
        <v>13</v>
      </c>
      <c r="F19" s="8">
        <v>2.13</v>
      </c>
      <c r="G19" s="12">
        <v>42</v>
      </c>
      <c r="H19" s="8">
        <v>4.9800000000000004</v>
      </c>
      <c r="I19" s="12">
        <v>0</v>
      </c>
    </row>
    <row r="20" spans="2:9" ht="15" customHeight="1" x14ac:dyDescent="0.2">
      <c r="B20" s="9" t="s">
        <v>280</v>
      </c>
      <c r="C20" s="12">
        <f>SUM(LTBL_13220[総数／事業所数])</f>
        <v>1469</v>
      </c>
      <c r="E20" s="12">
        <f>SUBTOTAL(109,LTBL_13220[個人／事業所数])</f>
        <v>611</v>
      </c>
      <c r="G20" s="12">
        <f>SUBTOTAL(109,LTBL_13220[法人／事業所数])</f>
        <v>844</v>
      </c>
      <c r="I20" s="12">
        <f>SUBTOTAL(109,LTBL_13220[法人以外の団体／事業所数])</f>
        <v>0</v>
      </c>
    </row>
    <row r="21" spans="2:9" ht="15" customHeight="1" x14ac:dyDescent="0.2">
      <c r="E21" s="11">
        <f>LTBL_13220[[#Totals],[個人／事業所数]]/LTBL_13220[[#Totals],[総数／事業所数]]</f>
        <v>0.41592920353982299</v>
      </c>
      <c r="G21" s="11">
        <f>LTBL_13220[[#Totals],[法人／事業所数]]/LTBL_13220[[#Totals],[総数／事業所数]]</f>
        <v>0.57454050374404353</v>
      </c>
      <c r="I21" s="11">
        <f>LTBL_13220[[#Totals],[法人以外の団体／事業所数]]/LTBL_13220[[#Totals],[総数／事業所数]]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153</v>
      </c>
      <c r="D24" s="8">
        <v>10.42</v>
      </c>
      <c r="E24" s="12">
        <v>125</v>
      </c>
      <c r="F24" s="8">
        <v>20.46</v>
      </c>
      <c r="G24" s="12">
        <v>28</v>
      </c>
      <c r="H24" s="8">
        <v>3.32</v>
      </c>
      <c r="I24" s="12">
        <v>0</v>
      </c>
    </row>
    <row r="25" spans="2:9" ht="15" customHeight="1" x14ac:dyDescent="0.2">
      <c r="B25" t="s">
        <v>104</v>
      </c>
      <c r="C25" s="12">
        <v>138</v>
      </c>
      <c r="D25" s="8">
        <v>9.39</v>
      </c>
      <c r="E25" s="12">
        <v>108</v>
      </c>
      <c r="F25" s="8">
        <v>17.68</v>
      </c>
      <c r="G25" s="12">
        <v>30</v>
      </c>
      <c r="H25" s="8">
        <v>3.55</v>
      </c>
      <c r="I25" s="12">
        <v>0</v>
      </c>
    </row>
    <row r="26" spans="2:9" ht="15" customHeight="1" x14ac:dyDescent="0.2">
      <c r="B26" t="s">
        <v>89</v>
      </c>
      <c r="C26" s="12">
        <v>133</v>
      </c>
      <c r="D26" s="8">
        <v>9.0500000000000007</v>
      </c>
      <c r="E26" s="12">
        <v>31</v>
      </c>
      <c r="F26" s="8">
        <v>5.07</v>
      </c>
      <c r="G26" s="12">
        <v>102</v>
      </c>
      <c r="H26" s="8">
        <v>12.09</v>
      </c>
      <c r="I26" s="12">
        <v>0</v>
      </c>
    </row>
    <row r="27" spans="2:9" ht="15" customHeight="1" x14ac:dyDescent="0.2">
      <c r="B27" t="s">
        <v>100</v>
      </c>
      <c r="C27" s="12">
        <v>105</v>
      </c>
      <c r="D27" s="8">
        <v>7.15</v>
      </c>
      <c r="E27" s="12">
        <v>3</v>
      </c>
      <c r="F27" s="8">
        <v>0.49</v>
      </c>
      <c r="G27" s="12">
        <v>102</v>
      </c>
      <c r="H27" s="8">
        <v>12.09</v>
      </c>
      <c r="I27" s="12">
        <v>0</v>
      </c>
    </row>
    <row r="28" spans="2:9" ht="15" customHeight="1" x14ac:dyDescent="0.2">
      <c r="B28" t="s">
        <v>88</v>
      </c>
      <c r="C28" s="12">
        <v>102</v>
      </c>
      <c r="D28" s="8">
        <v>6.94</v>
      </c>
      <c r="E28" s="12">
        <v>18</v>
      </c>
      <c r="F28" s="8">
        <v>2.95</v>
      </c>
      <c r="G28" s="12">
        <v>84</v>
      </c>
      <c r="H28" s="8">
        <v>9.9499999999999993</v>
      </c>
      <c r="I28" s="12">
        <v>0</v>
      </c>
    </row>
    <row r="29" spans="2:9" ht="15" customHeight="1" x14ac:dyDescent="0.2">
      <c r="B29" t="s">
        <v>90</v>
      </c>
      <c r="C29" s="12">
        <v>91</v>
      </c>
      <c r="D29" s="8">
        <v>6.19</v>
      </c>
      <c r="E29" s="12">
        <v>10</v>
      </c>
      <c r="F29" s="8">
        <v>1.64</v>
      </c>
      <c r="G29" s="12">
        <v>81</v>
      </c>
      <c r="H29" s="8">
        <v>9.6</v>
      </c>
      <c r="I29" s="12">
        <v>0</v>
      </c>
    </row>
    <row r="30" spans="2:9" ht="15" customHeight="1" x14ac:dyDescent="0.2">
      <c r="B30" t="s">
        <v>98</v>
      </c>
      <c r="C30" s="12">
        <v>77</v>
      </c>
      <c r="D30" s="8">
        <v>5.24</v>
      </c>
      <c r="E30" s="12">
        <v>40</v>
      </c>
      <c r="F30" s="8">
        <v>6.55</v>
      </c>
      <c r="G30" s="12">
        <v>37</v>
      </c>
      <c r="H30" s="8">
        <v>4.38</v>
      </c>
      <c r="I30" s="12">
        <v>0</v>
      </c>
    </row>
    <row r="31" spans="2:9" ht="15" customHeight="1" x14ac:dyDescent="0.2">
      <c r="B31" t="s">
        <v>105</v>
      </c>
      <c r="C31" s="12">
        <v>70</v>
      </c>
      <c r="D31" s="8">
        <v>4.7699999999999996</v>
      </c>
      <c r="E31" s="12">
        <v>48</v>
      </c>
      <c r="F31" s="8">
        <v>7.86</v>
      </c>
      <c r="G31" s="12">
        <v>15</v>
      </c>
      <c r="H31" s="8">
        <v>1.78</v>
      </c>
      <c r="I31" s="12">
        <v>0</v>
      </c>
    </row>
    <row r="32" spans="2:9" ht="15" customHeight="1" x14ac:dyDescent="0.2">
      <c r="B32" t="s">
        <v>106</v>
      </c>
      <c r="C32" s="12">
        <v>58</v>
      </c>
      <c r="D32" s="8">
        <v>3.95</v>
      </c>
      <c r="E32" s="12">
        <v>51</v>
      </c>
      <c r="F32" s="8">
        <v>8.35</v>
      </c>
      <c r="G32" s="12">
        <v>7</v>
      </c>
      <c r="H32" s="8">
        <v>0.83</v>
      </c>
      <c r="I32" s="12">
        <v>0</v>
      </c>
    </row>
    <row r="33" spans="2:9" ht="15" customHeight="1" x14ac:dyDescent="0.2">
      <c r="B33" t="s">
        <v>96</v>
      </c>
      <c r="C33" s="12">
        <v>56</v>
      </c>
      <c r="D33" s="8">
        <v>3.81</v>
      </c>
      <c r="E33" s="12">
        <v>37</v>
      </c>
      <c r="F33" s="8">
        <v>6.06</v>
      </c>
      <c r="G33" s="12">
        <v>19</v>
      </c>
      <c r="H33" s="8">
        <v>2.25</v>
      </c>
      <c r="I33" s="12">
        <v>0</v>
      </c>
    </row>
    <row r="34" spans="2:9" ht="15" customHeight="1" x14ac:dyDescent="0.2">
      <c r="B34" t="s">
        <v>101</v>
      </c>
      <c r="C34" s="12">
        <v>54</v>
      </c>
      <c r="D34" s="8">
        <v>3.68</v>
      </c>
      <c r="E34" s="12">
        <v>29</v>
      </c>
      <c r="F34" s="8">
        <v>4.75</v>
      </c>
      <c r="G34" s="12">
        <v>25</v>
      </c>
      <c r="H34" s="8">
        <v>2.96</v>
      </c>
      <c r="I34" s="12">
        <v>0</v>
      </c>
    </row>
    <row r="35" spans="2:9" ht="15" customHeight="1" x14ac:dyDescent="0.2">
      <c r="B35" t="s">
        <v>97</v>
      </c>
      <c r="C35" s="12">
        <v>42</v>
      </c>
      <c r="D35" s="8">
        <v>2.86</v>
      </c>
      <c r="E35" s="12">
        <v>21</v>
      </c>
      <c r="F35" s="8">
        <v>3.44</v>
      </c>
      <c r="G35" s="12">
        <v>21</v>
      </c>
      <c r="H35" s="8">
        <v>2.4900000000000002</v>
      </c>
      <c r="I35" s="12">
        <v>0</v>
      </c>
    </row>
    <row r="36" spans="2:9" ht="15" customHeight="1" x14ac:dyDescent="0.2">
      <c r="B36" t="s">
        <v>99</v>
      </c>
      <c r="C36" s="12">
        <v>33</v>
      </c>
      <c r="D36" s="8">
        <v>2.25</v>
      </c>
      <c r="E36" s="12">
        <v>1</v>
      </c>
      <c r="F36" s="8">
        <v>0.16</v>
      </c>
      <c r="G36" s="12">
        <v>32</v>
      </c>
      <c r="H36" s="8">
        <v>3.79</v>
      </c>
      <c r="I36" s="12">
        <v>0</v>
      </c>
    </row>
    <row r="37" spans="2:9" ht="15" customHeight="1" x14ac:dyDescent="0.2">
      <c r="B37" t="s">
        <v>102</v>
      </c>
      <c r="C37" s="12">
        <v>29</v>
      </c>
      <c r="D37" s="8">
        <v>1.97</v>
      </c>
      <c r="E37" s="12">
        <v>10</v>
      </c>
      <c r="F37" s="8">
        <v>1.64</v>
      </c>
      <c r="G37" s="12">
        <v>19</v>
      </c>
      <c r="H37" s="8">
        <v>2.25</v>
      </c>
      <c r="I37" s="12">
        <v>0</v>
      </c>
    </row>
    <row r="38" spans="2:9" ht="15" customHeight="1" x14ac:dyDescent="0.2">
      <c r="B38" t="s">
        <v>115</v>
      </c>
      <c r="C38" s="12">
        <v>25</v>
      </c>
      <c r="D38" s="8">
        <v>1.7</v>
      </c>
      <c r="E38" s="12">
        <v>13</v>
      </c>
      <c r="F38" s="8">
        <v>2.13</v>
      </c>
      <c r="G38" s="12">
        <v>12</v>
      </c>
      <c r="H38" s="8">
        <v>1.42</v>
      </c>
      <c r="I38" s="12">
        <v>0</v>
      </c>
    </row>
    <row r="39" spans="2:9" ht="15" customHeight="1" x14ac:dyDescent="0.2">
      <c r="B39" t="s">
        <v>107</v>
      </c>
      <c r="C39" s="12">
        <v>24</v>
      </c>
      <c r="D39" s="8">
        <v>1.63</v>
      </c>
      <c r="E39" s="12">
        <v>3</v>
      </c>
      <c r="F39" s="8">
        <v>0.49</v>
      </c>
      <c r="G39" s="12">
        <v>21</v>
      </c>
      <c r="H39" s="8">
        <v>2.4900000000000002</v>
      </c>
      <c r="I39" s="12">
        <v>0</v>
      </c>
    </row>
    <row r="40" spans="2:9" ht="15" customHeight="1" x14ac:dyDescent="0.2">
      <c r="B40" t="s">
        <v>132</v>
      </c>
      <c r="C40" s="12">
        <v>21</v>
      </c>
      <c r="D40" s="8">
        <v>1.43</v>
      </c>
      <c r="E40" s="12">
        <v>1</v>
      </c>
      <c r="F40" s="8">
        <v>0.16</v>
      </c>
      <c r="G40" s="12">
        <v>16</v>
      </c>
      <c r="H40" s="8">
        <v>1.9</v>
      </c>
      <c r="I40" s="12">
        <v>0</v>
      </c>
    </row>
    <row r="41" spans="2:9" ht="15" customHeight="1" x14ac:dyDescent="0.2">
      <c r="B41" t="s">
        <v>95</v>
      </c>
      <c r="C41" s="12">
        <v>17</v>
      </c>
      <c r="D41" s="8">
        <v>1.1599999999999999</v>
      </c>
      <c r="E41" s="12">
        <v>9</v>
      </c>
      <c r="F41" s="8">
        <v>1.47</v>
      </c>
      <c r="G41" s="12">
        <v>8</v>
      </c>
      <c r="H41" s="8">
        <v>0.95</v>
      </c>
      <c r="I41" s="12">
        <v>0</v>
      </c>
    </row>
    <row r="42" spans="2:9" ht="15" customHeight="1" x14ac:dyDescent="0.2">
      <c r="B42" t="s">
        <v>94</v>
      </c>
      <c r="C42" s="12">
        <v>16</v>
      </c>
      <c r="D42" s="8">
        <v>1.0900000000000001</v>
      </c>
      <c r="E42" s="12">
        <v>1</v>
      </c>
      <c r="F42" s="8">
        <v>0.16</v>
      </c>
      <c r="G42" s="12">
        <v>15</v>
      </c>
      <c r="H42" s="8">
        <v>1.78</v>
      </c>
      <c r="I42" s="12">
        <v>0</v>
      </c>
    </row>
    <row r="43" spans="2:9" ht="15" customHeight="1" x14ac:dyDescent="0.2">
      <c r="B43" t="s">
        <v>133</v>
      </c>
      <c r="C43" s="12">
        <v>16</v>
      </c>
      <c r="D43" s="8">
        <v>1.0900000000000001</v>
      </c>
      <c r="E43" s="12">
        <v>5</v>
      </c>
      <c r="F43" s="8">
        <v>0.82</v>
      </c>
      <c r="G43" s="12">
        <v>11</v>
      </c>
      <c r="H43" s="8">
        <v>1.3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61</v>
      </c>
      <c r="D47" s="8">
        <v>4.1500000000000004</v>
      </c>
      <c r="E47" s="12">
        <v>48</v>
      </c>
      <c r="F47" s="8">
        <v>7.86</v>
      </c>
      <c r="G47" s="12">
        <v>13</v>
      </c>
      <c r="H47" s="8">
        <v>1.54</v>
      </c>
      <c r="I47" s="12">
        <v>0</v>
      </c>
    </row>
    <row r="48" spans="2:9" ht="15" customHeight="1" x14ac:dyDescent="0.2">
      <c r="B48" t="s">
        <v>162</v>
      </c>
      <c r="C48" s="12">
        <v>50</v>
      </c>
      <c r="D48" s="8">
        <v>3.4</v>
      </c>
      <c r="E48" s="12">
        <v>2</v>
      </c>
      <c r="F48" s="8">
        <v>0.33</v>
      </c>
      <c r="G48" s="12">
        <v>48</v>
      </c>
      <c r="H48" s="8">
        <v>5.69</v>
      </c>
      <c r="I48" s="12">
        <v>0</v>
      </c>
    </row>
    <row r="49" spans="2:9" ht="15" customHeight="1" x14ac:dyDescent="0.2">
      <c r="B49" t="s">
        <v>168</v>
      </c>
      <c r="C49" s="12">
        <v>48</v>
      </c>
      <c r="D49" s="8">
        <v>3.27</v>
      </c>
      <c r="E49" s="12">
        <v>35</v>
      </c>
      <c r="F49" s="8">
        <v>5.73</v>
      </c>
      <c r="G49" s="12">
        <v>13</v>
      </c>
      <c r="H49" s="8">
        <v>1.54</v>
      </c>
      <c r="I49" s="12">
        <v>0</v>
      </c>
    </row>
    <row r="50" spans="2:9" ht="15" customHeight="1" x14ac:dyDescent="0.2">
      <c r="B50" t="s">
        <v>171</v>
      </c>
      <c r="C50" s="12">
        <v>45</v>
      </c>
      <c r="D50" s="8">
        <v>3.06</v>
      </c>
      <c r="E50" s="12">
        <v>41</v>
      </c>
      <c r="F50" s="8">
        <v>6.71</v>
      </c>
      <c r="G50" s="12">
        <v>4</v>
      </c>
      <c r="H50" s="8">
        <v>0.47</v>
      </c>
      <c r="I50" s="12">
        <v>0</v>
      </c>
    </row>
    <row r="51" spans="2:9" ht="15" customHeight="1" x14ac:dyDescent="0.2">
      <c r="B51" t="s">
        <v>169</v>
      </c>
      <c r="C51" s="12">
        <v>43</v>
      </c>
      <c r="D51" s="8">
        <v>2.93</v>
      </c>
      <c r="E51" s="12">
        <v>38</v>
      </c>
      <c r="F51" s="8">
        <v>6.22</v>
      </c>
      <c r="G51" s="12">
        <v>5</v>
      </c>
      <c r="H51" s="8">
        <v>0.59</v>
      </c>
      <c r="I51" s="12">
        <v>0</v>
      </c>
    </row>
    <row r="52" spans="2:9" ht="15" customHeight="1" x14ac:dyDescent="0.2">
      <c r="B52" t="s">
        <v>175</v>
      </c>
      <c r="C52" s="12">
        <v>41</v>
      </c>
      <c r="D52" s="8">
        <v>2.79</v>
      </c>
      <c r="E52" s="12">
        <v>37</v>
      </c>
      <c r="F52" s="8">
        <v>6.06</v>
      </c>
      <c r="G52" s="12">
        <v>4</v>
      </c>
      <c r="H52" s="8">
        <v>0.47</v>
      </c>
      <c r="I52" s="12">
        <v>0</v>
      </c>
    </row>
    <row r="53" spans="2:9" ht="15" customHeight="1" x14ac:dyDescent="0.2">
      <c r="B53" t="s">
        <v>173</v>
      </c>
      <c r="C53" s="12">
        <v>40</v>
      </c>
      <c r="D53" s="8">
        <v>2.72</v>
      </c>
      <c r="E53" s="12">
        <v>33</v>
      </c>
      <c r="F53" s="8">
        <v>5.4</v>
      </c>
      <c r="G53" s="12">
        <v>7</v>
      </c>
      <c r="H53" s="8">
        <v>0.83</v>
      </c>
      <c r="I53" s="12">
        <v>0</v>
      </c>
    </row>
    <row r="54" spans="2:9" ht="15" customHeight="1" x14ac:dyDescent="0.2">
      <c r="B54" t="s">
        <v>192</v>
      </c>
      <c r="C54" s="12">
        <v>38</v>
      </c>
      <c r="D54" s="8">
        <v>2.59</v>
      </c>
      <c r="E54" s="12">
        <v>2</v>
      </c>
      <c r="F54" s="8">
        <v>0.33</v>
      </c>
      <c r="G54" s="12">
        <v>36</v>
      </c>
      <c r="H54" s="8">
        <v>4.2699999999999996</v>
      </c>
      <c r="I54" s="12">
        <v>0</v>
      </c>
    </row>
    <row r="55" spans="2:9" ht="15" customHeight="1" x14ac:dyDescent="0.2">
      <c r="B55" t="s">
        <v>201</v>
      </c>
      <c r="C55" s="12">
        <v>38</v>
      </c>
      <c r="D55" s="8">
        <v>2.59</v>
      </c>
      <c r="E55" s="12">
        <v>6</v>
      </c>
      <c r="F55" s="8">
        <v>0.98</v>
      </c>
      <c r="G55" s="12">
        <v>32</v>
      </c>
      <c r="H55" s="8">
        <v>3.79</v>
      </c>
      <c r="I55" s="12">
        <v>0</v>
      </c>
    </row>
    <row r="56" spans="2:9" ht="15" customHeight="1" x14ac:dyDescent="0.2">
      <c r="B56" t="s">
        <v>226</v>
      </c>
      <c r="C56" s="12">
        <v>36</v>
      </c>
      <c r="D56" s="8">
        <v>2.4500000000000002</v>
      </c>
      <c r="E56" s="12">
        <v>9</v>
      </c>
      <c r="F56" s="8">
        <v>1.47</v>
      </c>
      <c r="G56" s="12">
        <v>27</v>
      </c>
      <c r="H56" s="8">
        <v>3.2</v>
      </c>
      <c r="I56" s="12">
        <v>0</v>
      </c>
    </row>
    <row r="57" spans="2:9" ht="15" customHeight="1" x14ac:dyDescent="0.2">
      <c r="B57" t="s">
        <v>159</v>
      </c>
      <c r="C57" s="12">
        <v>35</v>
      </c>
      <c r="D57" s="8">
        <v>2.38</v>
      </c>
      <c r="E57" s="12">
        <v>20</v>
      </c>
      <c r="F57" s="8">
        <v>3.27</v>
      </c>
      <c r="G57" s="12">
        <v>15</v>
      </c>
      <c r="H57" s="8">
        <v>1.78</v>
      </c>
      <c r="I57" s="12">
        <v>0</v>
      </c>
    </row>
    <row r="58" spans="2:9" ht="15" customHeight="1" x14ac:dyDescent="0.2">
      <c r="B58" t="s">
        <v>200</v>
      </c>
      <c r="C58" s="12">
        <v>30</v>
      </c>
      <c r="D58" s="8">
        <v>2.04</v>
      </c>
      <c r="E58" s="12">
        <v>10</v>
      </c>
      <c r="F58" s="8">
        <v>1.64</v>
      </c>
      <c r="G58" s="12">
        <v>20</v>
      </c>
      <c r="H58" s="8">
        <v>2.37</v>
      </c>
      <c r="I58" s="12">
        <v>0</v>
      </c>
    </row>
    <row r="59" spans="2:9" ht="15" customHeight="1" x14ac:dyDescent="0.2">
      <c r="B59" t="s">
        <v>223</v>
      </c>
      <c r="C59" s="12">
        <v>28</v>
      </c>
      <c r="D59" s="8">
        <v>1.91</v>
      </c>
      <c r="E59" s="12">
        <v>6</v>
      </c>
      <c r="F59" s="8">
        <v>0.98</v>
      </c>
      <c r="G59" s="12">
        <v>22</v>
      </c>
      <c r="H59" s="8">
        <v>2.61</v>
      </c>
      <c r="I59" s="12">
        <v>0</v>
      </c>
    </row>
    <row r="60" spans="2:9" ht="15" customHeight="1" x14ac:dyDescent="0.2">
      <c r="B60" t="s">
        <v>170</v>
      </c>
      <c r="C60" s="12">
        <v>27</v>
      </c>
      <c r="D60" s="8">
        <v>1.84</v>
      </c>
      <c r="E60" s="12">
        <v>27</v>
      </c>
      <c r="F60" s="8">
        <v>4.42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195</v>
      </c>
      <c r="C61" s="12">
        <v>26</v>
      </c>
      <c r="D61" s="8">
        <v>1.77</v>
      </c>
      <c r="E61" s="12">
        <v>11</v>
      </c>
      <c r="F61" s="8">
        <v>1.8</v>
      </c>
      <c r="G61" s="12">
        <v>15</v>
      </c>
      <c r="H61" s="8">
        <v>1.78</v>
      </c>
      <c r="I61" s="12">
        <v>0</v>
      </c>
    </row>
    <row r="62" spans="2:9" ht="15" customHeight="1" x14ac:dyDescent="0.2">
      <c r="B62" t="s">
        <v>158</v>
      </c>
      <c r="C62" s="12">
        <v>26</v>
      </c>
      <c r="D62" s="8">
        <v>1.77</v>
      </c>
      <c r="E62" s="12">
        <v>14</v>
      </c>
      <c r="F62" s="8">
        <v>2.29</v>
      </c>
      <c r="G62" s="12">
        <v>12</v>
      </c>
      <c r="H62" s="8">
        <v>1.42</v>
      </c>
      <c r="I62" s="12">
        <v>0</v>
      </c>
    </row>
    <row r="63" spans="2:9" ht="15" customHeight="1" x14ac:dyDescent="0.2">
      <c r="B63" t="s">
        <v>221</v>
      </c>
      <c r="C63" s="12">
        <v>26</v>
      </c>
      <c r="D63" s="8">
        <v>1.77</v>
      </c>
      <c r="E63" s="12">
        <v>13</v>
      </c>
      <c r="F63" s="8">
        <v>2.13</v>
      </c>
      <c r="G63" s="12">
        <v>13</v>
      </c>
      <c r="H63" s="8">
        <v>1.54</v>
      </c>
      <c r="I63" s="12">
        <v>0</v>
      </c>
    </row>
    <row r="64" spans="2:9" ht="15" customHeight="1" x14ac:dyDescent="0.2">
      <c r="B64" t="s">
        <v>161</v>
      </c>
      <c r="C64" s="12">
        <v>25</v>
      </c>
      <c r="D64" s="8">
        <v>1.7</v>
      </c>
      <c r="E64" s="12">
        <v>1</v>
      </c>
      <c r="F64" s="8">
        <v>0.16</v>
      </c>
      <c r="G64" s="12">
        <v>24</v>
      </c>
      <c r="H64" s="8">
        <v>2.84</v>
      </c>
      <c r="I64" s="12">
        <v>0</v>
      </c>
    </row>
    <row r="65" spans="2:9" ht="15" customHeight="1" x14ac:dyDescent="0.2">
      <c r="B65" t="s">
        <v>163</v>
      </c>
      <c r="C65" s="12">
        <v>25</v>
      </c>
      <c r="D65" s="8">
        <v>1.7</v>
      </c>
      <c r="E65" s="12">
        <v>0</v>
      </c>
      <c r="F65" s="8">
        <v>0</v>
      </c>
      <c r="G65" s="12">
        <v>25</v>
      </c>
      <c r="H65" s="8">
        <v>2.96</v>
      </c>
      <c r="I65" s="12">
        <v>0</v>
      </c>
    </row>
    <row r="66" spans="2:9" ht="15" customHeight="1" x14ac:dyDescent="0.2">
      <c r="B66" t="s">
        <v>206</v>
      </c>
      <c r="C66" s="12">
        <v>24</v>
      </c>
      <c r="D66" s="8">
        <v>1.63</v>
      </c>
      <c r="E66" s="12">
        <v>1</v>
      </c>
      <c r="F66" s="8">
        <v>0.16</v>
      </c>
      <c r="G66" s="12">
        <v>23</v>
      </c>
      <c r="H66" s="8">
        <v>2.73</v>
      </c>
      <c r="I66" s="12">
        <v>0</v>
      </c>
    </row>
    <row r="67" spans="2:9" ht="15" customHeight="1" x14ac:dyDescent="0.2">
      <c r="B67" t="s">
        <v>160</v>
      </c>
      <c r="C67" s="12">
        <v>24</v>
      </c>
      <c r="D67" s="8">
        <v>1.63</v>
      </c>
      <c r="E67" s="12">
        <v>1</v>
      </c>
      <c r="F67" s="8">
        <v>0.16</v>
      </c>
      <c r="G67" s="12">
        <v>23</v>
      </c>
      <c r="H67" s="8">
        <v>2.73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2110-CC10-4616-BF3C-220288BEA26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171</v>
      </c>
      <c r="D6" s="8">
        <v>15.79</v>
      </c>
      <c r="E6" s="12">
        <v>29</v>
      </c>
      <c r="F6" s="8">
        <v>5.72</v>
      </c>
      <c r="G6" s="12">
        <v>142</v>
      </c>
      <c r="H6" s="8">
        <v>25.59</v>
      </c>
      <c r="I6" s="12">
        <v>0</v>
      </c>
    </row>
    <row r="7" spans="2:9" ht="15" customHeight="1" x14ac:dyDescent="0.2">
      <c r="B7" t="s">
        <v>67</v>
      </c>
      <c r="C7" s="12">
        <v>35</v>
      </c>
      <c r="D7" s="8">
        <v>3.23</v>
      </c>
      <c r="E7" s="12">
        <v>9</v>
      </c>
      <c r="F7" s="8">
        <v>1.78</v>
      </c>
      <c r="G7" s="12">
        <v>26</v>
      </c>
      <c r="H7" s="8">
        <v>4.68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0.36</v>
      </c>
      <c r="I8" s="12">
        <v>0</v>
      </c>
    </row>
    <row r="9" spans="2:9" ht="15" customHeight="1" x14ac:dyDescent="0.2">
      <c r="B9" t="s">
        <v>69</v>
      </c>
      <c r="C9" s="12">
        <v>13</v>
      </c>
      <c r="D9" s="8">
        <v>1.2</v>
      </c>
      <c r="E9" s="12">
        <v>1</v>
      </c>
      <c r="F9" s="8">
        <v>0.2</v>
      </c>
      <c r="G9" s="12">
        <v>12</v>
      </c>
      <c r="H9" s="8">
        <v>2.16</v>
      </c>
      <c r="I9" s="12">
        <v>0</v>
      </c>
    </row>
    <row r="10" spans="2:9" ht="15" customHeight="1" x14ac:dyDescent="0.2">
      <c r="B10" t="s">
        <v>70</v>
      </c>
      <c r="C10" s="12">
        <v>5</v>
      </c>
      <c r="D10" s="8">
        <v>0.46</v>
      </c>
      <c r="E10" s="12">
        <v>3</v>
      </c>
      <c r="F10" s="8">
        <v>0.59</v>
      </c>
      <c r="G10" s="12">
        <v>2</v>
      </c>
      <c r="H10" s="8">
        <v>0.36</v>
      </c>
      <c r="I10" s="12">
        <v>0</v>
      </c>
    </row>
    <row r="11" spans="2:9" ht="15" customHeight="1" x14ac:dyDescent="0.2">
      <c r="B11" t="s">
        <v>71</v>
      </c>
      <c r="C11" s="12">
        <v>224</v>
      </c>
      <c r="D11" s="8">
        <v>20.68</v>
      </c>
      <c r="E11" s="12">
        <v>113</v>
      </c>
      <c r="F11" s="8">
        <v>22.29</v>
      </c>
      <c r="G11" s="12">
        <v>111</v>
      </c>
      <c r="H11" s="8">
        <v>20</v>
      </c>
      <c r="I11" s="12">
        <v>0</v>
      </c>
    </row>
    <row r="12" spans="2:9" ht="15" customHeight="1" x14ac:dyDescent="0.2">
      <c r="B12" t="s">
        <v>72</v>
      </c>
      <c r="C12" s="12">
        <v>7</v>
      </c>
      <c r="D12" s="8">
        <v>0.65</v>
      </c>
      <c r="E12" s="12">
        <v>2</v>
      </c>
      <c r="F12" s="8">
        <v>0.39</v>
      </c>
      <c r="G12" s="12">
        <v>5</v>
      </c>
      <c r="H12" s="8">
        <v>0.9</v>
      </c>
      <c r="I12" s="12">
        <v>0</v>
      </c>
    </row>
    <row r="13" spans="2:9" ht="15" customHeight="1" x14ac:dyDescent="0.2">
      <c r="B13" t="s">
        <v>73</v>
      </c>
      <c r="C13" s="12">
        <v>102</v>
      </c>
      <c r="D13" s="8">
        <v>9.42</v>
      </c>
      <c r="E13" s="12">
        <v>23</v>
      </c>
      <c r="F13" s="8">
        <v>4.54</v>
      </c>
      <c r="G13" s="12">
        <v>79</v>
      </c>
      <c r="H13" s="8">
        <v>14.23</v>
      </c>
      <c r="I13" s="12">
        <v>0</v>
      </c>
    </row>
    <row r="14" spans="2:9" ht="15" customHeight="1" x14ac:dyDescent="0.2">
      <c r="B14" t="s">
        <v>74</v>
      </c>
      <c r="C14" s="12">
        <v>57</v>
      </c>
      <c r="D14" s="8">
        <v>5.26</v>
      </c>
      <c r="E14" s="12">
        <v>21</v>
      </c>
      <c r="F14" s="8">
        <v>4.1399999999999997</v>
      </c>
      <c r="G14" s="12">
        <v>36</v>
      </c>
      <c r="H14" s="8">
        <v>6.49</v>
      </c>
      <c r="I14" s="12">
        <v>0</v>
      </c>
    </row>
    <row r="15" spans="2:9" ht="15" customHeight="1" x14ac:dyDescent="0.2">
      <c r="B15" t="s">
        <v>75</v>
      </c>
      <c r="C15" s="12">
        <v>124</v>
      </c>
      <c r="D15" s="8">
        <v>11.45</v>
      </c>
      <c r="E15" s="12">
        <v>96</v>
      </c>
      <c r="F15" s="8">
        <v>18.93</v>
      </c>
      <c r="G15" s="12">
        <v>28</v>
      </c>
      <c r="H15" s="8">
        <v>5.05</v>
      </c>
      <c r="I15" s="12">
        <v>0</v>
      </c>
    </row>
    <row r="16" spans="2:9" ht="15" customHeight="1" x14ac:dyDescent="0.2">
      <c r="B16" t="s">
        <v>76</v>
      </c>
      <c r="C16" s="12">
        <v>160</v>
      </c>
      <c r="D16" s="8">
        <v>14.77</v>
      </c>
      <c r="E16" s="12">
        <v>118</v>
      </c>
      <c r="F16" s="8">
        <v>23.27</v>
      </c>
      <c r="G16" s="12">
        <v>42</v>
      </c>
      <c r="H16" s="8">
        <v>7.57</v>
      </c>
      <c r="I16" s="12">
        <v>0</v>
      </c>
    </row>
    <row r="17" spans="2:9" ht="15" customHeight="1" x14ac:dyDescent="0.2">
      <c r="B17" t="s">
        <v>77</v>
      </c>
      <c r="C17" s="12">
        <v>62</v>
      </c>
      <c r="D17" s="8">
        <v>5.72</v>
      </c>
      <c r="E17" s="12">
        <v>43</v>
      </c>
      <c r="F17" s="8">
        <v>8.48</v>
      </c>
      <c r="G17" s="12">
        <v>15</v>
      </c>
      <c r="H17" s="8">
        <v>2.7</v>
      </c>
      <c r="I17" s="12">
        <v>0</v>
      </c>
    </row>
    <row r="18" spans="2:9" ht="15" customHeight="1" x14ac:dyDescent="0.2">
      <c r="B18" t="s">
        <v>78</v>
      </c>
      <c r="C18" s="12">
        <v>84</v>
      </c>
      <c r="D18" s="8">
        <v>7.76</v>
      </c>
      <c r="E18" s="12">
        <v>43</v>
      </c>
      <c r="F18" s="8">
        <v>8.48</v>
      </c>
      <c r="G18" s="12">
        <v>25</v>
      </c>
      <c r="H18" s="8">
        <v>4.5</v>
      </c>
      <c r="I18" s="12">
        <v>0</v>
      </c>
    </row>
    <row r="19" spans="2:9" ht="15" customHeight="1" x14ac:dyDescent="0.2">
      <c r="B19" t="s">
        <v>79</v>
      </c>
      <c r="C19" s="12">
        <v>37</v>
      </c>
      <c r="D19" s="8">
        <v>3.42</v>
      </c>
      <c r="E19" s="12">
        <v>6</v>
      </c>
      <c r="F19" s="8">
        <v>1.18</v>
      </c>
      <c r="G19" s="12">
        <v>30</v>
      </c>
      <c r="H19" s="8">
        <v>5.41</v>
      </c>
      <c r="I19" s="12">
        <v>0</v>
      </c>
    </row>
    <row r="20" spans="2:9" ht="15" customHeight="1" x14ac:dyDescent="0.2">
      <c r="B20" s="9" t="s">
        <v>280</v>
      </c>
      <c r="C20" s="12">
        <f>SUM(LTBL_13221[総数／事業所数])</f>
        <v>1083</v>
      </c>
      <c r="E20" s="12">
        <f>SUBTOTAL(109,LTBL_13221[個人／事業所数])</f>
        <v>507</v>
      </c>
      <c r="G20" s="12">
        <f>SUBTOTAL(109,LTBL_13221[法人／事業所数])</f>
        <v>555</v>
      </c>
      <c r="I20" s="12">
        <f>SUBTOTAL(109,LTBL_13221[法人以外の団体／事業所数])</f>
        <v>0</v>
      </c>
    </row>
    <row r="21" spans="2:9" ht="15" customHeight="1" x14ac:dyDescent="0.2">
      <c r="E21" s="11">
        <f>LTBL_13221[[#Totals],[個人／事業所数]]/LTBL_13221[[#Totals],[総数／事業所数]]</f>
        <v>0.46814404432132967</v>
      </c>
      <c r="G21" s="11">
        <f>LTBL_13221[[#Totals],[法人／事業所数]]/LTBL_13221[[#Totals],[総数／事業所数]]</f>
        <v>0.51246537396121883</v>
      </c>
      <c r="I21" s="11">
        <f>LTBL_13221[[#Totals],[法人以外の団体／事業所数]]/LTBL_13221[[#Totals],[総数／事業所数]]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104</v>
      </c>
      <c r="C24" s="12">
        <v>131</v>
      </c>
      <c r="D24" s="8">
        <v>12.1</v>
      </c>
      <c r="E24" s="12">
        <v>102</v>
      </c>
      <c r="F24" s="8">
        <v>20.12</v>
      </c>
      <c r="G24" s="12">
        <v>29</v>
      </c>
      <c r="H24" s="8">
        <v>5.23</v>
      </c>
      <c r="I24" s="12">
        <v>0</v>
      </c>
    </row>
    <row r="25" spans="2:9" ht="15" customHeight="1" x14ac:dyDescent="0.2">
      <c r="B25" t="s">
        <v>103</v>
      </c>
      <c r="C25" s="12">
        <v>118</v>
      </c>
      <c r="D25" s="8">
        <v>10.9</v>
      </c>
      <c r="E25" s="12">
        <v>96</v>
      </c>
      <c r="F25" s="8">
        <v>18.93</v>
      </c>
      <c r="G25" s="12">
        <v>22</v>
      </c>
      <c r="H25" s="8">
        <v>3.96</v>
      </c>
      <c r="I25" s="12">
        <v>0</v>
      </c>
    </row>
    <row r="26" spans="2:9" ht="15" customHeight="1" x14ac:dyDescent="0.2">
      <c r="B26" t="s">
        <v>100</v>
      </c>
      <c r="C26" s="12">
        <v>76</v>
      </c>
      <c r="D26" s="8">
        <v>7.02</v>
      </c>
      <c r="E26" s="12">
        <v>21</v>
      </c>
      <c r="F26" s="8">
        <v>4.1399999999999997</v>
      </c>
      <c r="G26" s="12">
        <v>55</v>
      </c>
      <c r="H26" s="8">
        <v>9.91</v>
      </c>
      <c r="I26" s="12">
        <v>0</v>
      </c>
    </row>
    <row r="27" spans="2:9" ht="15" customHeight="1" x14ac:dyDescent="0.2">
      <c r="B27" t="s">
        <v>98</v>
      </c>
      <c r="C27" s="12">
        <v>71</v>
      </c>
      <c r="D27" s="8">
        <v>6.56</v>
      </c>
      <c r="E27" s="12">
        <v>39</v>
      </c>
      <c r="F27" s="8">
        <v>7.69</v>
      </c>
      <c r="G27" s="12">
        <v>32</v>
      </c>
      <c r="H27" s="8">
        <v>5.77</v>
      </c>
      <c r="I27" s="12">
        <v>0</v>
      </c>
    </row>
    <row r="28" spans="2:9" ht="15" customHeight="1" x14ac:dyDescent="0.2">
      <c r="B28" t="s">
        <v>105</v>
      </c>
      <c r="C28" s="12">
        <v>62</v>
      </c>
      <c r="D28" s="8">
        <v>5.72</v>
      </c>
      <c r="E28" s="12">
        <v>43</v>
      </c>
      <c r="F28" s="8">
        <v>8.48</v>
      </c>
      <c r="G28" s="12">
        <v>15</v>
      </c>
      <c r="H28" s="8">
        <v>2.7</v>
      </c>
      <c r="I28" s="12">
        <v>0</v>
      </c>
    </row>
    <row r="29" spans="2:9" ht="15" customHeight="1" x14ac:dyDescent="0.2">
      <c r="B29" t="s">
        <v>88</v>
      </c>
      <c r="C29" s="12">
        <v>61</v>
      </c>
      <c r="D29" s="8">
        <v>5.63</v>
      </c>
      <c r="E29" s="12">
        <v>9</v>
      </c>
      <c r="F29" s="8">
        <v>1.78</v>
      </c>
      <c r="G29" s="12">
        <v>52</v>
      </c>
      <c r="H29" s="8">
        <v>9.3699999999999992</v>
      </c>
      <c r="I29" s="12">
        <v>0</v>
      </c>
    </row>
    <row r="30" spans="2:9" ht="15" customHeight="1" x14ac:dyDescent="0.2">
      <c r="B30" t="s">
        <v>96</v>
      </c>
      <c r="C30" s="12">
        <v>56</v>
      </c>
      <c r="D30" s="8">
        <v>5.17</v>
      </c>
      <c r="E30" s="12">
        <v>39</v>
      </c>
      <c r="F30" s="8">
        <v>7.69</v>
      </c>
      <c r="G30" s="12">
        <v>17</v>
      </c>
      <c r="H30" s="8">
        <v>3.06</v>
      </c>
      <c r="I30" s="12">
        <v>0</v>
      </c>
    </row>
    <row r="31" spans="2:9" ht="15" customHeight="1" x14ac:dyDescent="0.2">
      <c r="B31" t="s">
        <v>89</v>
      </c>
      <c r="C31" s="12">
        <v>55</v>
      </c>
      <c r="D31" s="8">
        <v>5.08</v>
      </c>
      <c r="E31" s="12">
        <v>12</v>
      </c>
      <c r="F31" s="8">
        <v>2.37</v>
      </c>
      <c r="G31" s="12">
        <v>43</v>
      </c>
      <c r="H31" s="8">
        <v>7.75</v>
      </c>
      <c r="I31" s="12">
        <v>0</v>
      </c>
    </row>
    <row r="32" spans="2:9" ht="15" customHeight="1" x14ac:dyDescent="0.2">
      <c r="B32" t="s">
        <v>90</v>
      </c>
      <c r="C32" s="12">
        <v>55</v>
      </c>
      <c r="D32" s="8">
        <v>5.08</v>
      </c>
      <c r="E32" s="12">
        <v>8</v>
      </c>
      <c r="F32" s="8">
        <v>1.58</v>
      </c>
      <c r="G32" s="12">
        <v>47</v>
      </c>
      <c r="H32" s="8">
        <v>8.4700000000000006</v>
      </c>
      <c r="I32" s="12">
        <v>0</v>
      </c>
    </row>
    <row r="33" spans="2:9" ht="15" customHeight="1" x14ac:dyDescent="0.2">
      <c r="B33" t="s">
        <v>106</v>
      </c>
      <c r="C33" s="12">
        <v>47</v>
      </c>
      <c r="D33" s="8">
        <v>4.34</v>
      </c>
      <c r="E33" s="12">
        <v>40</v>
      </c>
      <c r="F33" s="8">
        <v>7.89</v>
      </c>
      <c r="G33" s="12">
        <v>7</v>
      </c>
      <c r="H33" s="8">
        <v>1.26</v>
      </c>
      <c r="I33" s="12">
        <v>0</v>
      </c>
    </row>
    <row r="34" spans="2:9" ht="15" customHeight="1" x14ac:dyDescent="0.2">
      <c r="B34" t="s">
        <v>132</v>
      </c>
      <c r="C34" s="12">
        <v>37</v>
      </c>
      <c r="D34" s="8">
        <v>3.42</v>
      </c>
      <c r="E34" s="12">
        <v>3</v>
      </c>
      <c r="F34" s="8">
        <v>0.59</v>
      </c>
      <c r="G34" s="12">
        <v>18</v>
      </c>
      <c r="H34" s="8">
        <v>3.24</v>
      </c>
      <c r="I34" s="12">
        <v>0</v>
      </c>
    </row>
    <row r="35" spans="2:9" ht="15" customHeight="1" x14ac:dyDescent="0.2">
      <c r="B35" t="s">
        <v>102</v>
      </c>
      <c r="C35" s="12">
        <v>26</v>
      </c>
      <c r="D35" s="8">
        <v>2.4</v>
      </c>
      <c r="E35" s="12">
        <v>9</v>
      </c>
      <c r="F35" s="8">
        <v>1.78</v>
      </c>
      <c r="G35" s="12">
        <v>17</v>
      </c>
      <c r="H35" s="8">
        <v>3.06</v>
      </c>
      <c r="I35" s="12">
        <v>0</v>
      </c>
    </row>
    <row r="36" spans="2:9" ht="15" customHeight="1" x14ac:dyDescent="0.2">
      <c r="B36" t="s">
        <v>101</v>
      </c>
      <c r="C36" s="12">
        <v>25</v>
      </c>
      <c r="D36" s="8">
        <v>2.31</v>
      </c>
      <c r="E36" s="12">
        <v>12</v>
      </c>
      <c r="F36" s="8">
        <v>2.37</v>
      </c>
      <c r="G36" s="12">
        <v>13</v>
      </c>
      <c r="H36" s="8">
        <v>2.34</v>
      </c>
      <c r="I36" s="12">
        <v>0</v>
      </c>
    </row>
    <row r="37" spans="2:9" ht="15" customHeight="1" x14ac:dyDescent="0.2">
      <c r="B37" t="s">
        <v>99</v>
      </c>
      <c r="C37" s="12">
        <v>23</v>
      </c>
      <c r="D37" s="8">
        <v>2.12</v>
      </c>
      <c r="E37" s="12">
        <v>1</v>
      </c>
      <c r="F37" s="8">
        <v>0.2</v>
      </c>
      <c r="G37" s="12">
        <v>22</v>
      </c>
      <c r="H37" s="8">
        <v>3.96</v>
      </c>
      <c r="I37" s="12">
        <v>0</v>
      </c>
    </row>
    <row r="38" spans="2:9" ht="15" customHeight="1" x14ac:dyDescent="0.2">
      <c r="B38" t="s">
        <v>97</v>
      </c>
      <c r="C38" s="12">
        <v>21</v>
      </c>
      <c r="D38" s="8">
        <v>1.94</v>
      </c>
      <c r="E38" s="12">
        <v>11</v>
      </c>
      <c r="F38" s="8">
        <v>2.17</v>
      </c>
      <c r="G38" s="12">
        <v>10</v>
      </c>
      <c r="H38" s="8">
        <v>1.8</v>
      </c>
      <c r="I38" s="12">
        <v>0</v>
      </c>
    </row>
    <row r="39" spans="2:9" ht="15" customHeight="1" x14ac:dyDescent="0.2">
      <c r="B39" t="s">
        <v>95</v>
      </c>
      <c r="C39" s="12">
        <v>18</v>
      </c>
      <c r="D39" s="8">
        <v>1.66</v>
      </c>
      <c r="E39" s="12">
        <v>11</v>
      </c>
      <c r="F39" s="8">
        <v>2.17</v>
      </c>
      <c r="G39" s="12">
        <v>7</v>
      </c>
      <c r="H39" s="8">
        <v>1.26</v>
      </c>
      <c r="I39" s="12">
        <v>0</v>
      </c>
    </row>
    <row r="40" spans="2:9" ht="15" customHeight="1" x14ac:dyDescent="0.2">
      <c r="B40" t="s">
        <v>115</v>
      </c>
      <c r="C40" s="12">
        <v>17</v>
      </c>
      <c r="D40" s="8">
        <v>1.57</v>
      </c>
      <c r="E40" s="12">
        <v>10</v>
      </c>
      <c r="F40" s="8">
        <v>1.97</v>
      </c>
      <c r="G40" s="12">
        <v>7</v>
      </c>
      <c r="H40" s="8">
        <v>1.26</v>
      </c>
      <c r="I40" s="12">
        <v>0</v>
      </c>
    </row>
    <row r="41" spans="2:9" ht="15" customHeight="1" x14ac:dyDescent="0.2">
      <c r="B41" t="s">
        <v>107</v>
      </c>
      <c r="C41" s="12">
        <v>16</v>
      </c>
      <c r="D41" s="8">
        <v>1.48</v>
      </c>
      <c r="E41" s="12">
        <v>1</v>
      </c>
      <c r="F41" s="8">
        <v>0.2</v>
      </c>
      <c r="G41" s="12">
        <v>15</v>
      </c>
      <c r="H41" s="8">
        <v>2.7</v>
      </c>
      <c r="I41" s="12">
        <v>0</v>
      </c>
    </row>
    <row r="42" spans="2:9" ht="15" customHeight="1" x14ac:dyDescent="0.2">
      <c r="B42" t="s">
        <v>94</v>
      </c>
      <c r="C42" s="12">
        <v>13</v>
      </c>
      <c r="D42" s="8">
        <v>1.2</v>
      </c>
      <c r="E42" s="12">
        <v>2</v>
      </c>
      <c r="F42" s="8">
        <v>0.39</v>
      </c>
      <c r="G42" s="12">
        <v>11</v>
      </c>
      <c r="H42" s="8">
        <v>1.98</v>
      </c>
      <c r="I42" s="12">
        <v>0</v>
      </c>
    </row>
    <row r="43" spans="2:9" ht="15" customHeight="1" x14ac:dyDescent="0.2">
      <c r="B43" t="s">
        <v>114</v>
      </c>
      <c r="C43" s="12">
        <v>12</v>
      </c>
      <c r="D43" s="8">
        <v>1.1100000000000001</v>
      </c>
      <c r="E43" s="12">
        <v>6</v>
      </c>
      <c r="F43" s="8">
        <v>1.18</v>
      </c>
      <c r="G43" s="12">
        <v>6</v>
      </c>
      <c r="H43" s="8">
        <v>1.08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62</v>
      </c>
      <c r="D47" s="8">
        <v>5.72</v>
      </c>
      <c r="E47" s="12">
        <v>47</v>
      </c>
      <c r="F47" s="8">
        <v>9.27</v>
      </c>
      <c r="G47" s="12">
        <v>15</v>
      </c>
      <c r="H47" s="8">
        <v>2.7</v>
      </c>
      <c r="I47" s="12">
        <v>0</v>
      </c>
    </row>
    <row r="48" spans="2:9" ht="15" customHeight="1" x14ac:dyDescent="0.2">
      <c r="B48" t="s">
        <v>162</v>
      </c>
      <c r="C48" s="12">
        <v>48</v>
      </c>
      <c r="D48" s="8">
        <v>4.43</v>
      </c>
      <c r="E48" s="12">
        <v>15</v>
      </c>
      <c r="F48" s="8">
        <v>2.96</v>
      </c>
      <c r="G48" s="12">
        <v>33</v>
      </c>
      <c r="H48" s="8">
        <v>5.95</v>
      </c>
      <c r="I48" s="12">
        <v>0</v>
      </c>
    </row>
    <row r="49" spans="2:9" ht="15" customHeight="1" x14ac:dyDescent="0.2">
      <c r="B49" t="s">
        <v>173</v>
      </c>
      <c r="C49" s="12">
        <v>47</v>
      </c>
      <c r="D49" s="8">
        <v>4.34</v>
      </c>
      <c r="E49" s="12">
        <v>36</v>
      </c>
      <c r="F49" s="8">
        <v>7.1</v>
      </c>
      <c r="G49" s="12">
        <v>11</v>
      </c>
      <c r="H49" s="8">
        <v>1.98</v>
      </c>
      <c r="I49" s="12">
        <v>0</v>
      </c>
    </row>
    <row r="50" spans="2:9" ht="15" customHeight="1" x14ac:dyDescent="0.2">
      <c r="B50" t="s">
        <v>169</v>
      </c>
      <c r="C50" s="12">
        <v>39</v>
      </c>
      <c r="D50" s="8">
        <v>3.6</v>
      </c>
      <c r="E50" s="12">
        <v>29</v>
      </c>
      <c r="F50" s="8">
        <v>5.72</v>
      </c>
      <c r="G50" s="12">
        <v>10</v>
      </c>
      <c r="H50" s="8">
        <v>1.8</v>
      </c>
      <c r="I50" s="12">
        <v>0</v>
      </c>
    </row>
    <row r="51" spans="2:9" ht="15" customHeight="1" x14ac:dyDescent="0.2">
      <c r="B51" t="s">
        <v>171</v>
      </c>
      <c r="C51" s="12">
        <v>37</v>
      </c>
      <c r="D51" s="8">
        <v>3.42</v>
      </c>
      <c r="E51" s="12">
        <v>35</v>
      </c>
      <c r="F51" s="8">
        <v>6.9</v>
      </c>
      <c r="G51" s="12">
        <v>2</v>
      </c>
      <c r="H51" s="8">
        <v>0.36</v>
      </c>
      <c r="I51" s="12">
        <v>0</v>
      </c>
    </row>
    <row r="52" spans="2:9" ht="15" customHeight="1" x14ac:dyDescent="0.2">
      <c r="B52" t="s">
        <v>192</v>
      </c>
      <c r="C52" s="12">
        <v>32</v>
      </c>
      <c r="D52" s="8">
        <v>2.95</v>
      </c>
      <c r="E52" s="12">
        <v>6</v>
      </c>
      <c r="F52" s="8">
        <v>1.18</v>
      </c>
      <c r="G52" s="12">
        <v>26</v>
      </c>
      <c r="H52" s="8">
        <v>4.68</v>
      </c>
      <c r="I52" s="12">
        <v>0</v>
      </c>
    </row>
    <row r="53" spans="2:9" ht="15" customHeight="1" x14ac:dyDescent="0.2">
      <c r="B53" t="s">
        <v>175</v>
      </c>
      <c r="C53" s="12">
        <v>31</v>
      </c>
      <c r="D53" s="8">
        <v>2.86</v>
      </c>
      <c r="E53" s="12">
        <v>29</v>
      </c>
      <c r="F53" s="8">
        <v>5.72</v>
      </c>
      <c r="G53" s="12">
        <v>2</v>
      </c>
      <c r="H53" s="8">
        <v>0.36</v>
      </c>
      <c r="I53" s="12">
        <v>0</v>
      </c>
    </row>
    <row r="54" spans="2:9" ht="15" customHeight="1" x14ac:dyDescent="0.2">
      <c r="B54" t="s">
        <v>168</v>
      </c>
      <c r="C54" s="12">
        <v>23</v>
      </c>
      <c r="D54" s="8">
        <v>2.12</v>
      </c>
      <c r="E54" s="12">
        <v>18</v>
      </c>
      <c r="F54" s="8">
        <v>3.55</v>
      </c>
      <c r="G54" s="12">
        <v>5</v>
      </c>
      <c r="H54" s="8">
        <v>0.9</v>
      </c>
      <c r="I54" s="12">
        <v>0</v>
      </c>
    </row>
    <row r="55" spans="2:9" ht="15" customHeight="1" x14ac:dyDescent="0.2">
      <c r="B55" t="s">
        <v>197</v>
      </c>
      <c r="C55" s="12">
        <v>22</v>
      </c>
      <c r="D55" s="8">
        <v>2.0299999999999998</v>
      </c>
      <c r="E55" s="12">
        <v>12</v>
      </c>
      <c r="F55" s="8">
        <v>2.37</v>
      </c>
      <c r="G55" s="12">
        <v>10</v>
      </c>
      <c r="H55" s="8">
        <v>1.8</v>
      </c>
      <c r="I55" s="12">
        <v>0</v>
      </c>
    </row>
    <row r="56" spans="2:9" ht="15" customHeight="1" x14ac:dyDescent="0.2">
      <c r="B56" t="s">
        <v>159</v>
      </c>
      <c r="C56" s="12">
        <v>21</v>
      </c>
      <c r="D56" s="8">
        <v>1.94</v>
      </c>
      <c r="E56" s="12">
        <v>17</v>
      </c>
      <c r="F56" s="8">
        <v>3.35</v>
      </c>
      <c r="G56" s="12">
        <v>4</v>
      </c>
      <c r="H56" s="8">
        <v>0.72</v>
      </c>
      <c r="I56" s="12">
        <v>0</v>
      </c>
    </row>
    <row r="57" spans="2:9" ht="15" customHeight="1" x14ac:dyDescent="0.2">
      <c r="B57" t="s">
        <v>158</v>
      </c>
      <c r="C57" s="12">
        <v>20</v>
      </c>
      <c r="D57" s="8">
        <v>1.85</v>
      </c>
      <c r="E57" s="12">
        <v>13</v>
      </c>
      <c r="F57" s="8">
        <v>2.56</v>
      </c>
      <c r="G57" s="12">
        <v>7</v>
      </c>
      <c r="H57" s="8">
        <v>1.26</v>
      </c>
      <c r="I57" s="12">
        <v>0</v>
      </c>
    </row>
    <row r="58" spans="2:9" ht="15" customHeight="1" x14ac:dyDescent="0.2">
      <c r="B58" t="s">
        <v>201</v>
      </c>
      <c r="C58" s="12">
        <v>19</v>
      </c>
      <c r="D58" s="8">
        <v>1.75</v>
      </c>
      <c r="E58" s="12">
        <v>2</v>
      </c>
      <c r="F58" s="8">
        <v>0.39</v>
      </c>
      <c r="G58" s="12">
        <v>17</v>
      </c>
      <c r="H58" s="8">
        <v>3.06</v>
      </c>
      <c r="I58" s="12">
        <v>0</v>
      </c>
    </row>
    <row r="59" spans="2:9" ht="15" customHeight="1" x14ac:dyDescent="0.2">
      <c r="B59" t="s">
        <v>205</v>
      </c>
      <c r="C59" s="12">
        <v>19</v>
      </c>
      <c r="D59" s="8">
        <v>1.75</v>
      </c>
      <c r="E59" s="12">
        <v>17</v>
      </c>
      <c r="F59" s="8">
        <v>3.35</v>
      </c>
      <c r="G59" s="12">
        <v>2</v>
      </c>
      <c r="H59" s="8">
        <v>0.36</v>
      </c>
      <c r="I59" s="12">
        <v>0</v>
      </c>
    </row>
    <row r="60" spans="2:9" ht="15" customHeight="1" x14ac:dyDescent="0.2">
      <c r="B60" t="s">
        <v>160</v>
      </c>
      <c r="C60" s="12">
        <v>19</v>
      </c>
      <c r="D60" s="8">
        <v>1.75</v>
      </c>
      <c r="E60" s="12">
        <v>1</v>
      </c>
      <c r="F60" s="8">
        <v>0.2</v>
      </c>
      <c r="G60" s="12">
        <v>18</v>
      </c>
      <c r="H60" s="8">
        <v>3.24</v>
      </c>
      <c r="I60" s="12">
        <v>0</v>
      </c>
    </row>
    <row r="61" spans="2:9" ht="15" customHeight="1" x14ac:dyDescent="0.2">
      <c r="B61" t="s">
        <v>170</v>
      </c>
      <c r="C61" s="12">
        <v>19</v>
      </c>
      <c r="D61" s="8">
        <v>1.75</v>
      </c>
      <c r="E61" s="12">
        <v>19</v>
      </c>
      <c r="F61" s="8">
        <v>3.75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222</v>
      </c>
      <c r="C62" s="12">
        <v>19</v>
      </c>
      <c r="D62" s="8">
        <v>1.75</v>
      </c>
      <c r="E62" s="12">
        <v>2</v>
      </c>
      <c r="F62" s="8">
        <v>0.39</v>
      </c>
      <c r="G62" s="12">
        <v>1</v>
      </c>
      <c r="H62" s="8">
        <v>0.18</v>
      </c>
      <c r="I62" s="12">
        <v>0</v>
      </c>
    </row>
    <row r="63" spans="2:9" ht="15" customHeight="1" x14ac:dyDescent="0.2">
      <c r="B63" t="s">
        <v>198</v>
      </c>
      <c r="C63" s="12">
        <v>18</v>
      </c>
      <c r="D63" s="8">
        <v>1.66</v>
      </c>
      <c r="E63" s="12">
        <v>6</v>
      </c>
      <c r="F63" s="8">
        <v>1.18</v>
      </c>
      <c r="G63" s="12">
        <v>12</v>
      </c>
      <c r="H63" s="8">
        <v>2.16</v>
      </c>
      <c r="I63" s="12">
        <v>0</v>
      </c>
    </row>
    <row r="64" spans="2:9" ht="15" customHeight="1" x14ac:dyDescent="0.2">
      <c r="B64" t="s">
        <v>206</v>
      </c>
      <c r="C64" s="12">
        <v>17</v>
      </c>
      <c r="D64" s="8">
        <v>1.57</v>
      </c>
      <c r="E64" s="12">
        <v>4</v>
      </c>
      <c r="F64" s="8">
        <v>0.79</v>
      </c>
      <c r="G64" s="12">
        <v>13</v>
      </c>
      <c r="H64" s="8">
        <v>2.34</v>
      </c>
      <c r="I64" s="12">
        <v>0</v>
      </c>
    </row>
    <row r="65" spans="2:9" ht="15" customHeight="1" x14ac:dyDescent="0.2">
      <c r="B65" t="s">
        <v>200</v>
      </c>
      <c r="C65" s="12">
        <v>17</v>
      </c>
      <c r="D65" s="8">
        <v>1.57</v>
      </c>
      <c r="E65" s="12">
        <v>3</v>
      </c>
      <c r="F65" s="8">
        <v>0.59</v>
      </c>
      <c r="G65" s="12">
        <v>14</v>
      </c>
      <c r="H65" s="8">
        <v>2.52</v>
      </c>
      <c r="I65" s="12">
        <v>0</v>
      </c>
    </row>
    <row r="66" spans="2:9" ht="15" customHeight="1" x14ac:dyDescent="0.2">
      <c r="B66" t="s">
        <v>195</v>
      </c>
      <c r="C66" s="12">
        <v>17</v>
      </c>
      <c r="D66" s="8">
        <v>1.57</v>
      </c>
      <c r="E66" s="12">
        <v>3</v>
      </c>
      <c r="F66" s="8">
        <v>0.59</v>
      </c>
      <c r="G66" s="12">
        <v>14</v>
      </c>
      <c r="H66" s="8">
        <v>2.52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0FE4-4F63-4F73-8D8D-8D475BEE7DD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21</v>
      </c>
      <c r="D5" s="8">
        <v>0.01</v>
      </c>
      <c r="E5" s="12">
        <v>0</v>
      </c>
      <c r="F5" s="8">
        <v>0</v>
      </c>
      <c r="G5" s="12">
        <v>21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31817</v>
      </c>
      <c r="D6" s="8">
        <v>9.3699999999999992</v>
      </c>
      <c r="E6" s="12">
        <v>4309</v>
      </c>
      <c r="F6" s="8">
        <v>3.73</v>
      </c>
      <c r="G6" s="12">
        <v>27502</v>
      </c>
      <c r="H6" s="8">
        <v>12.32</v>
      </c>
      <c r="I6" s="12">
        <v>6</v>
      </c>
    </row>
    <row r="7" spans="2:9" ht="15" customHeight="1" x14ac:dyDescent="0.2">
      <c r="B7" t="s">
        <v>67</v>
      </c>
      <c r="C7" s="12">
        <v>29567</v>
      </c>
      <c r="D7" s="8">
        <v>8.7100000000000009</v>
      </c>
      <c r="E7" s="12">
        <v>6337</v>
      </c>
      <c r="F7" s="8">
        <v>5.49</v>
      </c>
      <c r="G7" s="12">
        <v>23225</v>
      </c>
      <c r="H7" s="8">
        <v>10.4</v>
      </c>
      <c r="I7" s="12">
        <v>5</v>
      </c>
    </row>
    <row r="8" spans="2:9" ht="15" customHeight="1" x14ac:dyDescent="0.2">
      <c r="B8" t="s">
        <v>68</v>
      </c>
      <c r="C8" s="12">
        <v>388</v>
      </c>
      <c r="D8" s="8">
        <v>0.11</v>
      </c>
      <c r="E8" s="12">
        <v>1</v>
      </c>
      <c r="F8" s="8">
        <v>0</v>
      </c>
      <c r="G8" s="12">
        <v>371</v>
      </c>
      <c r="H8" s="8">
        <v>0.17</v>
      </c>
      <c r="I8" s="12">
        <v>2</v>
      </c>
    </row>
    <row r="9" spans="2:9" ht="15" customHeight="1" x14ac:dyDescent="0.2">
      <c r="B9" t="s">
        <v>69</v>
      </c>
      <c r="C9" s="12">
        <v>12231</v>
      </c>
      <c r="D9" s="8">
        <v>3.6</v>
      </c>
      <c r="E9" s="12">
        <v>321</v>
      </c>
      <c r="F9" s="8">
        <v>0.28000000000000003</v>
      </c>
      <c r="G9" s="12">
        <v>11890</v>
      </c>
      <c r="H9" s="8">
        <v>5.33</v>
      </c>
      <c r="I9" s="12">
        <v>20</v>
      </c>
    </row>
    <row r="10" spans="2:9" ht="15" customHeight="1" x14ac:dyDescent="0.2">
      <c r="B10" t="s">
        <v>70</v>
      </c>
      <c r="C10" s="12">
        <v>4597</v>
      </c>
      <c r="D10" s="8">
        <v>1.35</v>
      </c>
      <c r="E10" s="12">
        <v>1750</v>
      </c>
      <c r="F10" s="8">
        <v>1.52</v>
      </c>
      <c r="G10" s="12">
        <v>2840</v>
      </c>
      <c r="H10" s="8">
        <v>1.27</v>
      </c>
      <c r="I10" s="12">
        <v>3</v>
      </c>
    </row>
    <row r="11" spans="2:9" ht="15" customHeight="1" x14ac:dyDescent="0.2">
      <c r="B11" t="s">
        <v>71</v>
      </c>
      <c r="C11" s="12">
        <v>68841</v>
      </c>
      <c r="D11" s="8">
        <v>20.27</v>
      </c>
      <c r="E11" s="12">
        <v>18596</v>
      </c>
      <c r="F11" s="8">
        <v>16.100000000000001</v>
      </c>
      <c r="G11" s="12">
        <v>50212</v>
      </c>
      <c r="H11" s="8">
        <v>22.49</v>
      </c>
      <c r="I11" s="12">
        <v>31</v>
      </c>
    </row>
    <row r="12" spans="2:9" ht="15" customHeight="1" x14ac:dyDescent="0.2">
      <c r="B12" t="s">
        <v>72</v>
      </c>
      <c r="C12" s="12">
        <v>2029</v>
      </c>
      <c r="D12" s="8">
        <v>0.6</v>
      </c>
      <c r="E12" s="12">
        <v>122</v>
      </c>
      <c r="F12" s="8">
        <v>0.11</v>
      </c>
      <c r="G12" s="12">
        <v>1905</v>
      </c>
      <c r="H12" s="8">
        <v>0.85</v>
      </c>
      <c r="I12" s="12">
        <v>2</v>
      </c>
    </row>
    <row r="13" spans="2:9" ht="15" customHeight="1" x14ac:dyDescent="0.2">
      <c r="B13" t="s">
        <v>73</v>
      </c>
      <c r="C13" s="12">
        <v>50099</v>
      </c>
      <c r="D13" s="8">
        <v>14.75</v>
      </c>
      <c r="E13" s="12">
        <v>11592</v>
      </c>
      <c r="F13" s="8">
        <v>10.039999999999999</v>
      </c>
      <c r="G13" s="12">
        <v>38456</v>
      </c>
      <c r="H13" s="8">
        <v>17.22</v>
      </c>
      <c r="I13" s="12">
        <v>42</v>
      </c>
    </row>
    <row r="14" spans="2:9" ht="15" customHeight="1" x14ac:dyDescent="0.2">
      <c r="B14" t="s">
        <v>74</v>
      </c>
      <c r="C14" s="12">
        <v>33583</v>
      </c>
      <c r="D14" s="8">
        <v>9.89</v>
      </c>
      <c r="E14" s="12">
        <v>12402</v>
      </c>
      <c r="F14" s="8">
        <v>10.74</v>
      </c>
      <c r="G14" s="12">
        <v>21079</v>
      </c>
      <c r="H14" s="8">
        <v>9.44</v>
      </c>
      <c r="I14" s="12">
        <v>60</v>
      </c>
    </row>
    <row r="15" spans="2:9" ht="15" customHeight="1" x14ac:dyDescent="0.2">
      <c r="B15" t="s">
        <v>75</v>
      </c>
      <c r="C15" s="12">
        <v>38353</v>
      </c>
      <c r="D15" s="8">
        <v>11.29</v>
      </c>
      <c r="E15" s="12">
        <v>25336</v>
      </c>
      <c r="F15" s="8">
        <v>21.93</v>
      </c>
      <c r="G15" s="12">
        <v>12990</v>
      </c>
      <c r="H15" s="8">
        <v>5.82</v>
      </c>
      <c r="I15" s="12">
        <v>12</v>
      </c>
    </row>
    <row r="16" spans="2:9" ht="15" customHeight="1" x14ac:dyDescent="0.2">
      <c r="B16" t="s">
        <v>76</v>
      </c>
      <c r="C16" s="12">
        <v>30238</v>
      </c>
      <c r="D16" s="8">
        <v>8.9</v>
      </c>
      <c r="E16" s="12">
        <v>17933</v>
      </c>
      <c r="F16" s="8">
        <v>15.53</v>
      </c>
      <c r="G16" s="12">
        <v>12252</v>
      </c>
      <c r="H16" s="8">
        <v>5.49</v>
      </c>
      <c r="I16" s="12">
        <v>28</v>
      </c>
    </row>
    <row r="17" spans="2:9" ht="15" customHeight="1" x14ac:dyDescent="0.2">
      <c r="B17" t="s">
        <v>77</v>
      </c>
      <c r="C17" s="12">
        <v>9900</v>
      </c>
      <c r="D17" s="8">
        <v>2.91</v>
      </c>
      <c r="E17" s="12">
        <v>5279</v>
      </c>
      <c r="F17" s="8">
        <v>4.57</v>
      </c>
      <c r="G17" s="12">
        <v>4471</v>
      </c>
      <c r="H17" s="8">
        <v>2</v>
      </c>
      <c r="I17" s="12">
        <v>42</v>
      </c>
    </row>
    <row r="18" spans="2:9" ht="15" customHeight="1" x14ac:dyDescent="0.2">
      <c r="B18" t="s">
        <v>78</v>
      </c>
      <c r="C18" s="12">
        <v>15848</v>
      </c>
      <c r="D18" s="8">
        <v>4.67</v>
      </c>
      <c r="E18" s="12">
        <v>10059</v>
      </c>
      <c r="F18" s="8">
        <v>8.7100000000000009</v>
      </c>
      <c r="G18" s="12">
        <v>5590</v>
      </c>
      <c r="H18" s="8">
        <v>2.5</v>
      </c>
      <c r="I18" s="12">
        <v>16</v>
      </c>
    </row>
    <row r="19" spans="2:9" ht="15" customHeight="1" x14ac:dyDescent="0.2">
      <c r="B19" t="s">
        <v>79</v>
      </c>
      <c r="C19" s="12">
        <v>12140</v>
      </c>
      <c r="D19" s="8">
        <v>3.57</v>
      </c>
      <c r="E19" s="12">
        <v>1472</v>
      </c>
      <c r="F19" s="8">
        <v>1.27</v>
      </c>
      <c r="G19" s="12">
        <v>10471</v>
      </c>
      <c r="H19" s="8">
        <v>4.6900000000000004</v>
      </c>
      <c r="I19" s="12">
        <v>97</v>
      </c>
    </row>
    <row r="20" spans="2:9" ht="15" customHeight="1" x14ac:dyDescent="0.2">
      <c r="B20" s="9" t="s">
        <v>280</v>
      </c>
      <c r="C20" s="12">
        <f>SUM(LTBL_13000[総数／事業所数])</f>
        <v>339652</v>
      </c>
      <c r="E20" s="12">
        <f>SUBTOTAL(109,LTBL_13000[個人／事業所数])</f>
        <v>115509</v>
      </c>
      <c r="G20" s="12">
        <f>SUBTOTAL(109,LTBL_13000[法人／事業所数])</f>
        <v>223275</v>
      </c>
      <c r="I20" s="12">
        <f>SUBTOTAL(109,LTBL_13000[法人以外の団体／事業所数])</f>
        <v>366</v>
      </c>
    </row>
    <row r="21" spans="2:9" ht="15" customHeight="1" x14ac:dyDescent="0.2">
      <c r="E21" s="11">
        <f>LTBL_13000[[#Totals],[個人／事業所数]]/LTBL_13000[[#Totals],[総数／事業所数]]</f>
        <v>0.34008043526904008</v>
      </c>
      <c r="G21" s="11">
        <f>LTBL_13000[[#Totals],[法人／事業所数]]/LTBL_13000[[#Totals],[総数／事業所数]]</f>
        <v>0.65736400786687554</v>
      </c>
      <c r="I21" s="11">
        <f>LTBL_13000[[#Totals],[法人以外の団体／事業所数]]/LTBL_13000[[#Totals],[総数／事業所数]]</f>
        <v>1.0775735164226914E-3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40762</v>
      </c>
      <c r="D24" s="8">
        <v>12</v>
      </c>
      <c r="E24" s="12">
        <v>11051</v>
      </c>
      <c r="F24" s="8">
        <v>9.57</v>
      </c>
      <c r="G24" s="12">
        <v>29661</v>
      </c>
      <c r="H24" s="8">
        <v>13.28</v>
      </c>
      <c r="I24" s="12">
        <v>41</v>
      </c>
    </row>
    <row r="25" spans="2:9" ht="15" customHeight="1" x14ac:dyDescent="0.2">
      <c r="B25" t="s">
        <v>103</v>
      </c>
      <c r="C25" s="12">
        <v>35240</v>
      </c>
      <c r="D25" s="8">
        <v>10.38</v>
      </c>
      <c r="E25" s="12">
        <v>24663</v>
      </c>
      <c r="F25" s="8">
        <v>21.35</v>
      </c>
      <c r="G25" s="12">
        <v>10567</v>
      </c>
      <c r="H25" s="8">
        <v>4.7300000000000004</v>
      </c>
      <c r="I25" s="12">
        <v>10</v>
      </c>
    </row>
    <row r="26" spans="2:9" ht="15" customHeight="1" x14ac:dyDescent="0.2">
      <c r="B26" t="s">
        <v>101</v>
      </c>
      <c r="C26" s="12">
        <v>23480</v>
      </c>
      <c r="D26" s="8">
        <v>6.91</v>
      </c>
      <c r="E26" s="12">
        <v>10581</v>
      </c>
      <c r="F26" s="8">
        <v>9.16</v>
      </c>
      <c r="G26" s="12">
        <v>12874</v>
      </c>
      <c r="H26" s="8">
        <v>5.77</v>
      </c>
      <c r="I26" s="12">
        <v>25</v>
      </c>
    </row>
    <row r="27" spans="2:9" ht="15" customHeight="1" x14ac:dyDescent="0.2">
      <c r="B27" t="s">
        <v>104</v>
      </c>
      <c r="C27" s="12">
        <v>22930</v>
      </c>
      <c r="D27" s="8">
        <v>6.75</v>
      </c>
      <c r="E27" s="12">
        <v>16101</v>
      </c>
      <c r="F27" s="8">
        <v>13.94</v>
      </c>
      <c r="G27" s="12">
        <v>6827</v>
      </c>
      <c r="H27" s="8">
        <v>3.06</v>
      </c>
      <c r="I27" s="12">
        <v>1</v>
      </c>
    </row>
    <row r="28" spans="2:9" ht="15" customHeight="1" x14ac:dyDescent="0.2">
      <c r="B28" t="s">
        <v>98</v>
      </c>
      <c r="C28" s="12">
        <v>17019</v>
      </c>
      <c r="D28" s="8">
        <v>5.01</v>
      </c>
      <c r="E28" s="12">
        <v>6562</v>
      </c>
      <c r="F28" s="8">
        <v>5.68</v>
      </c>
      <c r="G28" s="12">
        <v>10452</v>
      </c>
      <c r="H28" s="8">
        <v>4.68</v>
      </c>
      <c r="I28" s="12">
        <v>4</v>
      </c>
    </row>
    <row r="29" spans="2:9" ht="15" customHeight="1" x14ac:dyDescent="0.2">
      <c r="B29" t="s">
        <v>106</v>
      </c>
      <c r="C29" s="12">
        <v>12659</v>
      </c>
      <c r="D29" s="8">
        <v>3.73</v>
      </c>
      <c r="E29" s="12">
        <v>9974</v>
      </c>
      <c r="F29" s="8">
        <v>8.6300000000000008</v>
      </c>
      <c r="G29" s="12">
        <v>2680</v>
      </c>
      <c r="H29" s="8">
        <v>1.2</v>
      </c>
      <c r="I29" s="12">
        <v>4</v>
      </c>
    </row>
    <row r="30" spans="2:9" ht="15" customHeight="1" x14ac:dyDescent="0.2">
      <c r="B30" t="s">
        <v>89</v>
      </c>
      <c r="C30" s="12">
        <v>11915</v>
      </c>
      <c r="D30" s="8">
        <v>3.51</v>
      </c>
      <c r="E30" s="12">
        <v>2156</v>
      </c>
      <c r="F30" s="8">
        <v>1.87</v>
      </c>
      <c r="G30" s="12">
        <v>9758</v>
      </c>
      <c r="H30" s="8">
        <v>4.37</v>
      </c>
      <c r="I30" s="12">
        <v>1</v>
      </c>
    </row>
    <row r="31" spans="2:9" ht="15" customHeight="1" x14ac:dyDescent="0.2">
      <c r="B31" t="s">
        <v>96</v>
      </c>
      <c r="C31" s="12">
        <v>10951</v>
      </c>
      <c r="D31" s="8">
        <v>3.22</v>
      </c>
      <c r="E31" s="12">
        <v>5649</v>
      </c>
      <c r="F31" s="8">
        <v>4.8899999999999997</v>
      </c>
      <c r="G31" s="12">
        <v>5297</v>
      </c>
      <c r="H31" s="8">
        <v>2.37</v>
      </c>
      <c r="I31" s="12">
        <v>4</v>
      </c>
    </row>
    <row r="32" spans="2:9" ht="15" customHeight="1" x14ac:dyDescent="0.2">
      <c r="B32" t="s">
        <v>88</v>
      </c>
      <c r="C32" s="12">
        <v>10726</v>
      </c>
      <c r="D32" s="8">
        <v>3.16</v>
      </c>
      <c r="E32" s="12">
        <v>1248</v>
      </c>
      <c r="F32" s="8">
        <v>1.08</v>
      </c>
      <c r="G32" s="12">
        <v>9476</v>
      </c>
      <c r="H32" s="8">
        <v>4.24</v>
      </c>
      <c r="I32" s="12">
        <v>2</v>
      </c>
    </row>
    <row r="33" spans="2:9" ht="15" customHeight="1" x14ac:dyDescent="0.2">
      <c r="B33" t="s">
        <v>105</v>
      </c>
      <c r="C33" s="12">
        <v>9900</v>
      </c>
      <c r="D33" s="8">
        <v>2.91</v>
      </c>
      <c r="E33" s="12">
        <v>5279</v>
      </c>
      <c r="F33" s="8">
        <v>4.57</v>
      </c>
      <c r="G33" s="12">
        <v>4471</v>
      </c>
      <c r="H33" s="8">
        <v>2</v>
      </c>
      <c r="I33" s="12">
        <v>42</v>
      </c>
    </row>
    <row r="34" spans="2:9" ht="15" customHeight="1" x14ac:dyDescent="0.2">
      <c r="B34" t="s">
        <v>90</v>
      </c>
      <c r="C34" s="12">
        <v>9176</v>
      </c>
      <c r="D34" s="8">
        <v>2.7</v>
      </c>
      <c r="E34" s="12">
        <v>905</v>
      </c>
      <c r="F34" s="8">
        <v>0.78</v>
      </c>
      <c r="G34" s="12">
        <v>8268</v>
      </c>
      <c r="H34" s="8">
        <v>3.7</v>
      </c>
      <c r="I34" s="12">
        <v>3</v>
      </c>
    </row>
    <row r="35" spans="2:9" ht="15" customHeight="1" x14ac:dyDescent="0.2">
      <c r="B35" t="s">
        <v>95</v>
      </c>
      <c r="C35" s="12">
        <v>8346</v>
      </c>
      <c r="D35" s="8">
        <v>2.46</v>
      </c>
      <c r="E35" s="12">
        <v>2582</v>
      </c>
      <c r="F35" s="8">
        <v>2.2400000000000002</v>
      </c>
      <c r="G35" s="12">
        <v>5761</v>
      </c>
      <c r="H35" s="8">
        <v>2.58</v>
      </c>
      <c r="I35" s="12">
        <v>3</v>
      </c>
    </row>
    <row r="36" spans="2:9" ht="15" customHeight="1" x14ac:dyDescent="0.2">
      <c r="B36" t="s">
        <v>99</v>
      </c>
      <c r="C36" s="12">
        <v>8177</v>
      </c>
      <c r="D36" s="8">
        <v>2.41</v>
      </c>
      <c r="E36" s="12">
        <v>473</v>
      </c>
      <c r="F36" s="8">
        <v>0.41</v>
      </c>
      <c r="G36" s="12">
        <v>7703</v>
      </c>
      <c r="H36" s="8">
        <v>3.45</v>
      </c>
      <c r="I36" s="12">
        <v>1</v>
      </c>
    </row>
    <row r="37" spans="2:9" ht="15" customHeight="1" x14ac:dyDescent="0.2">
      <c r="B37" t="s">
        <v>102</v>
      </c>
      <c r="C37" s="12">
        <v>7946</v>
      </c>
      <c r="D37" s="8">
        <v>2.34</v>
      </c>
      <c r="E37" s="12">
        <v>1778</v>
      </c>
      <c r="F37" s="8">
        <v>1.54</v>
      </c>
      <c r="G37" s="12">
        <v>6119</v>
      </c>
      <c r="H37" s="8">
        <v>2.74</v>
      </c>
      <c r="I37" s="12">
        <v>9</v>
      </c>
    </row>
    <row r="38" spans="2:9" ht="15" customHeight="1" x14ac:dyDescent="0.2">
      <c r="B38" t="s">
        <v>107</v>
      </c>
      <c r="C38" s="12">
        <v>7233</v>
      </c>
      <c r="D38" s="8">
        <v>2.13</v>
      </c>
      <c r="E38" s="12">
        <v>318</v>
      </c>
      <c r="F38" s="8">
        <v>0.28000000000000003</v>
      </c>
      <c r="G38" s="12">
        <v>6827</v>
      </c>
      <c r="H38" s="8">
        <v>3.06</v>
      </c>
      <c r="I38" s="12">
        <v>82</v>
      </c>
    </row>
    <row r="39" spans="2:9" ht="15" customHeight="1" x14ac:dyDescent="0.2">
      <c r="B39" t="s">
        <v>94</v>
      </c>
      <c r="C39" s="12">
        <v>6897</v>
      </c>
      <c r="D39" s="8">
        <v>2.0299999999999998</v>
      </c>
      <c r="E39" s="12">
        <v>487</v>
      </c>
      <c r="F39" s="8">
        <v>0.42</v>
      </c>
      <c r="G39" s="12">
        <v>6405</v>
      </c>
      <c r="H39" s="8">
        <v>2.87</v>
      </c>
      <c r="I39" s="12">
        <v>5</v>
      </c>
    </row>
    <row r="40" spans="2:9" ht="15" customHeight="1" x14ac:dyDescent="0.2">
      <c r="B40" t="s">
        <v>93</v>
      </c>
      <c r="C40" s="12">
        <v>5689</v>
      </c>
      <c r="D40" s="8">
        <v>1.67</v>
      </c>
      <c r="E40" s="12">
        <v>228</v>
      </c>
      <c r="F40" s="8">
        <v>0.2</v>
      </c>
      <c r="G40" s="12">
        <v>5460</v>
      </c>
      <c r="H40" s="8">
        <v>2.4500000000000002</v>
      </c>
      <c r="I40" s="12">
        <v>1</v>
      </c>
    </row>
    <row r="41" spans="2:9" ht="15" customHeight="1" x14ac:dyDescent="0.2">
      <c r="B41" t="s">
        <v>91</v>
      </c>
      <c r="C41" s="12">
        <v>5562</v>
      </c>
      <c r="D41" s="8">
        <v>1.64</v>
      </c>
      <c r="E41" s="12">
        <v>72</v>
      </c>
      <c r="F41" s="8">
        <v>0.06</v>
      </c>
      <c r="G41" s="12">
        <v>5487</v>
      </c>
      <c r="H41" s="8">
        <v>2.46</v>
      </c>
      <c r="I41" s="12">
        <v>3</v>
      </c>
    </row>
    <row r="42" spans="2:9" ht="15" customHeight="1" x14ac:dyDescent="0.2">
      <c r="B42" t="s">
        <v>97</v>
      </c>
      <c r="C42" s="12">
        <v>5135</v>
      </c>
      <c r="D42" s="8">
        <v>1.51</v>
      </c>
      <c r="E42" s="12">
        <v>1840</v>
      </c>
      <c r="F42" s="8">
        <v>1.59</v>
      </c>
      <c r="G42" s="12">
        <v>3294</v>
      </c>
      <c r="H42" s="8">
        <v>1.48</v>
      </c>
      <c r="I42" s="12">
        <v>1</v>
      </c>
    </row>
    <row r="43" spans="2:9" ht="15" customHeight="1" x14ac:dyDescent="0.2">
      <c r="B43" t="s">
        <v>92</v>
      </c>
      <c r="C43" s="12">
        <v>4735</v>
      </c>
      <c r="D43" s="8">
        <v>1.39</v>
      </c>
      <c r="E43" s="12">
        <v>215</v>
      </c>
      <c r="F43" s="8">
        <v>0.19</v>
      </c>
      <c r="G43" s="12">
        <v>4505</v>
      </c>
      <c r="H43" s="8">
        <v>2.02</v>
      </c>
      <c r="I43" s="12">
        <v>15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22178</v>
      </c>
      <c r="D47" s="8">
        <v>6.53</v>
      </c>
      <c r="E47" s="12">
        <v>8402</v>
      </c>
      <c r="F47" s="8">
        <v>7.27</v>
      </c>
      <c r="G47" s="12">
        <v>13770</v>
      </c>
      <c r="H47" s="8">
        <v>6.17</v>
      </c>
      <c r="I47" s="12">
        <v>4</v>
      </c>
    </row>
    <row r="48" spans="2:9" ht="15" customHeight="1" x14ac:dyDescent="0.2">
      <c r="B48" t="s">
        <v>168</v>
      </c>
      <c r="C48" s="12">
        <v>11159</v>
      </c>
      <c r="D48" s="8">
        <v>3.29</v>
      </c>
      <c r="E48" s="12">
        <v>7071</v>
      </c>
      <c r="F48" s="8">
        <v>6.12</v>
      </c>
      <c r="G48" s="12">
        <v>4085</v>
      </c>
      <c r="H48" s="8">
        <v>1.83</v>
      </c>
      <c r="I48" s="12">
        <v>3</v>
      </c>
    </row>
    <row r="49" spans="2:9" ht="15" customHeight="1" x14ac:dyDescent="0.2">
      <c r="B49" t="s">
        <v>172</v>
      </c>
      <c r="C49" s="12">
        <v>10368</v>
      </c>
      <c r="D49" s="8">
        <v>3.05</v>
      </c>
      <c r="E49" s="12">
        <v>7781</v>
      </c>
      <c r="F49" s="8">
        <v>6.74</v>
      </c>
      <c r="G49" s="12">
        <v>2587</v>
      </c>
      <c r="H49" s="8">
        <v>1.1599999999999999</v>
      </c>
      <c r="I49" s="12">
        <v>0</v>
      </c>
    </row>
    <row r="50" spans="2:9" ht="15" customHeight="1" x14ac:dyDescent="0.2">
      <c r="B50" t="s">
        <v>169</v>
      </c>
      <c r="C50" s="12">
        <v>8744</v>
      </c>
      <c r="D50" s="8">
        <v>2.57</v>
      </c>
      <c r="E50" s="12">
        <v>6660</v>
      </c>
      <c r="F50" s="8">
        <v>5.77</v>
      </c>
      <c r="G50" s="12">
        <v>2083</v>
      </c>
      <c r="H50" s="8">
        <v>0.93</v>
      </c>
      <c r="I50" s="12">
        <v>1</v>
      </c>
    </row>
    <row r="51" spans="2:9" ht="15" customHeight="1" x14ac:dyDescent="0.2">
      <c r="B51" t="s">
        <v>163</v>
      </c>
      <c r="C51" s="12">
        <v>8536</v>
      </c>
      <c r="D51" s="8">
        <v>2.5099999999999998</v>
      </c>
      <c r="E51" s="12">
        <v>286</v>
      </c>
      <c r="F51" s="8">
        <v>0.25</v>
      </c>
      <c r="G51" s="12">
        <v>8215</v>
      </c>
      <c r="H51" s="8">
        <v>3.68</v>
      </c>
      <c r="I51" s="12">
        <v>29</v>
      </c>
    </row>
    <row r="52" spans="2:9" ht="15" customHeight="1" x14ac:dyDescent="0.2">
      <c r="B52" t="s">
        <v>161</v>
      </c>
      <c r="C52" s="12">
        <v>8157</v>
      </c>
      <c r="D52" s="8">
        <v>2.4</v>
      </c>
      <c r="E52" s="12">
        <v>1415</v>
      </c>
      <c r="F52" s="8">
        <v>1.23</v>
      </c>
      <c r="G52" s="12">
        <v>6739</v>
      </c>
      <c r="H52" s="8">
        <v>3.02</v>
      </c>
      <c r="I52" s="12">
        <v>2</v>
      </c>
    </row>
    <row r="53" spans="2:9" ht="15" customHeight="1" x14ac:dyDescent="0.2">
      <c r="B53" t="s">
        <v>175</v>
      </c>
      <c r="C53" s="12">
        <v>7627</v>
      </c>
      <c r="D53" s="8">
        <v>2.25</v>
      </c>
      <c r="E53" s="12">
        <v>5888</v>
      </c>
      <c r="F53" s="8">
        <v>5.0999999999999996</v>
      </c>
      <c r="G53" s="12">
        <v>1738</v>
      </c>
      <c r="H53" s="8">
        <v>0.78</v>
      </c>
      <c r="I53" s="12">
        <v>1</v>
      </c>
    </row>
    <row r="54" spans="2:9" ht="15" customHeight="1" x14ac:dyDescent="0.2">
      <c r="B54" t="s">
        <v>159</v>
      </c>
      <c r="C54" s="12">
        <v>6547</v>
      </c>
      <c r="D54" s="8">
        <v>1.93</v>
      </c>
      <c r="E54" s="12">
        <v>3258</v>
      </c>
      <c r="F54" s="8">
        <v>2.82</v>
      </c>
      <c r="G54" s="12">
        <v>3287</v>
      </c>
      <c r="H54" s="8">
        <v>1.47</v>
      </c>
      <c r="I54" s="12">
        <v>1</v>
      </c>
    </row>
    <row r="55" spans="2:9" ht="15" customHeight="1" x14ac:dyDescent="0.2">
      <c r="B55" t="s">
        <v>173</v>
      </c>
      <c r="C55" s="12">
        <v>6484</v>
      </c>
      <c r="D55" s="8">
        <v>1.91</v>
      </c>
      <c r="E55" s="12">
        <v>4020</v>
      </c>
      <c r="F55" s="8">
        <v>3.48</v>
      </c>
      <c r="G55" s="12">
        <v>2438</v>
      </c>
      <c r="H55" s="8">
        <v>1.0900000000000001</v>
      </c>
      <c r="I55" s="12">
        <v>26</v>
      </c>
    </row>
    <row r="56" spans="2:9" ht="15" customHeight="1" x14ac:dyDescent="0.2">
      <c r="B56" t="s">
        <v>160</v>
      </c>
      <c r="C56" s="12">
        <v>6336</v>
      </c>
      <c r="D56" s="8">
        <v>1.87</v>
      </c>
      <c r="E56" s="12">
        <v>439</v>
      </c>
      <c r="F56" s="8">
        <v>0.38</v>
      </c>
      <c r="G56" s="12">
        <v>5897</v>
      </c>
      <c r="H56" s="8">
        <v>2.64</v>
      </c>
      <c r="I56" s="12">
        <v>0</v>
      </c>
    </row>
    <row r="57" spans="2:9" ht="15" customHeight="1" x14ac:dyDescent="0.2">
      <c r="B57" t="s">
        <v>170</v>
      </c>
      <c r="C57" s="12">
        <v>5813</v>
      </c>
      <c r="D57" s="8">
        <v>1.71</v>
      </c>
      <c r="E57" s="12">
        <v>4674</v>
      </c>
      <c r="F57" s="8">
        <v>4.05</v>
      </c>
      <c r="G57" s="12">
        <v>1137</v>
      </c>
      <c r="H57" s="8">
        <v>0.51</v>
      </c>
      <c r="I57" s="12">
        <v>2</v>
      </c>
    </row>
    <row r="58" spans="2:9" ht="15" customHeight="1" x14ac:dyDescent="0.2">
      <c r="B58" t="s">
        <v>171</v>
      </c>
      <c r="C58" s="12">
        <v>5689</v>
      </c>
      <c r="D58" s="8">
        <v>1.67</v>
      </c>
      <c r="E58" s="12">
        <v>5070</v>
      </c>
      <c r="F58" s="8">
        <v>4.3899999999999997</v>
      </c>
      <c r="G58" s="12">
        <v>619</v>
      </c>
      <c r="H58" s="8">
        <v>0.28000000000000003</v>
      </c>
      <c r="I58" s="12">
        <v>0</v>
      </c>
    </row>
    <row r="59" spans="2:9" ht="15" customHeight="1" x14ac:dyDescent="0.2">
      <c r="B59" t="s">
        <v>166</v>
      </c>
      <c r="C59" s="12">
        <v>5683</v>
      </c>
      <c r="D59" s="8">
        <v>1.67</v>
      </c>
      <c r="E59" s="12">
        <v>269</v>
      </c>
      <c r="F59" s="8">
        <v>0.23</v>
      </c>
      <c r="G59" s="12">
        <v>5395</v>
      </c>
      <c r="H59" s="8">
        <v>2.42</v>
      </c>
      <c r="I59" s="12">
        <v>19</v>
      </c>
    </row>
    <row r="60" spans="2:9" ht="15" customHeight="1" x14ac:dyDescent="0.2">
      <c r="B60" t="s">
        <v>164</v>
      </c>
      <c r="C60" s="12">
        <v>4966</v>
      </c>
      <c r="D60" s="8">
        <v>1.46</v>
      </c>
      <c r="E60" s="12">
        <v>4646</v>
      </c>
      <c r="F60" s="8">
        <v>4.0199999999999996</v>
      </c>
      <c r="G60" s="12">
        <v>320</v>
      </c>
      <c r="H60" s="8">
        <v>0.14000000000000001</v>
      </c>
      <c r="I60" s="12">
        <v>0</v>
      </c>
    </row>
    <row r="61" spans="2:9" ht="15" customHeight="1" x14ac:dyDescent="0.2">
      <c r="B61" t="s">
        <v>167</v>
      </c>
      <c r="C61" s="12">
        <v>4938</v>
      </c>
      <c r="D61" s="8">
        <v>1.45</v>
      </c>
      <c r="E61" s="12">
        <v>866</v>
      </c>
      <c r="F61" s="8">
        <v>0.75</v>
      </c>
      <c r="G61" s="12">
        <v>4028</v>
      </c>
      <c r="H61" s="8">
        <v>1.8</v>
      </c>
      <c r="I61" s="12">
        <v>7</v>
      </c>
    </row>
    <row r="62" spans="2:9" ht="15" customHeight="1" x14ac:dyDescent="0.2">
      <c r="B62" t="s">
        <v>176</v>
      </c>
      <c r="C62" s="12">
        <v>4768</v>
      </c>
      <c r="D62" s="8">
        <v>1.4</v>
      </c>
      <c r="E62" s="12">
        <v>228</v>
      </c>
      <c r="F62" s="8">
        <v>0.2</v>
      </c>
      <c r="G62" s="12">
        <v>4456</v>
      </c>
      <c r="H62" s="8">
        <v>2</v>
      </c>
      <c r="I62" s="12">
        <v>78</v>
      </c>
    </row>
    <row r="63" spans="2:9" ht="15" customHeight="1" x14ac:dyDescent="0.2">
      <c r="B63" t="s">
        <v>158</v>
      </c>
      <c r="C63" s="12">
        <v>4640</v>
      </c>
      <c r="D63" s="8">
        <v>1.37</v>
      </c>
      <c r="E63" s="12">
        <v>2306</v>
      </c>
      <c r="F63" s="8">
        <v>2</v>
      </c>
      <c r="G63" s="12">
        <v>2333</v>
      </c>
      <c r="H63" s="8">
        <v>1.04</v>
      </c>
      <c r="I63" s="12">
        <v>1</v>
      </c>
    </row>
    <row r="64" spans="2:9" ht="15" customHeight="1" x14ac:dyDescent="0.2">
      <c r="B64" t="s">
        <v>157</v>
      </c>
      <c r="C64" s="12">
        <v>4604</v>
      </c>
      <c r="D64" s="8">
        <v>1.36</v>
      </c>
      <c r="E64" s="12">
        <v>62</v>
      </c>
      <c r="F64" s="8">
        <v>0.05</v>
      </c>
      <c r="G64" s="12">
        <v>4540</v>
      </c>
      <c r="H64" s="8">
        <v>2.0299999999999998</v>
      </c>
      <c r="I64" s="12">
        <v>2</v>
      </c>
    </row>
    <row r="65" spans="2:9" ht="15" customHeight="1" x14ac:dyDescent="0.2">
      <c r="B65" t="s">
        <v>165</v>
      </c>
      <c r="C65" s="12">
        <v>4583</v>
      </c>
      <c r="D65" s="8">
        <v>1.35</v>
      </c>
      <c r="E65" s="12">
        <v>101</v>
      </c>
      <c r="F65" s="8">
        <v>0.09</v>
      </c>
      <c r="G65" s="12">
        <v>4477</v>
      </c>
      <c r="H65" s="8">
        <v>2.0099999999999998</v>
      </c>
      <c r="I65" s="12">
        <v>5</v>
      </c>
    </row>
    <row r="66" spans="2:9" ht="15" customHeight="1" x14ac:dyDescent="0.2">
      <c r="B66" t="s">
        <v>174</v>
      </c>
      <c r="C66" s="12">
        <v>4427</v>
      </c>
      <c r="D66" s="8">
        <v>1.3</v>
      </c>
      <c r="E66" s="12">
        <v>3908</v>
      </c>
      <c r="F66" s="8">
        <v>3.38</v>
      </c>
      <c r="G66" s="12">
        <v>515</v>
      </c>
      <c r="H66" s="8">
        <v>0.23</v>
      </c>
      <c r="I66" s="12">
        <v>3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A5051-DAC6-4CFF-B4E1-D72535DEA59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376</v>
      </c>
      <c r="D6" s="8">
        <v>20.54</v>
      </c>
      <c r="E6" s="12">
        <v>80</v>
      </c>
      <c r="F6" s="8">
        <v>11.19</v>
      </c>
      <c r="G6" s="12">
        <v>296</v>
      </c>
      <c r="H6" s="8">
        <v>26.71</v>
      </c>
      <c r="I6" s="12">
        <v>0</v>
      </c>
    </row>
    <row r="7" spans="2:9" ht="15" customHeight="1" x14ac:dyDescent="0.2">
      <c r="B7" t="s">
        <v>67</v>
      </c>
      <c r="C7" s="12">
        <v>113</v>
      </c>
      <c r="D7" s="8">
        <v>6.17</v>
      </c>
      <c r="E7" s="12">
        <v>14</v>
      </c>
      <c r="F7" s="8">
        <v>1.96</v>
      </c>
      <c r="G7" s="12">
        <v>99</v>
      </c>
      <c r="H7" s="8">
        <v>8.94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0.11</v>
      </c>
      <c r="E8" s="12">
        <v>0</v>
      </c>
      <c r="F8" s="8">
        <v>0</v>
      </c>
      <c r="G8" s="12">
        <v>2</v>
      </c>
      <c r="H8" s="8">
        <v>0.18</v>
      </c>
      <c r="I8" s="12">
        <v>0</v>
      </c>
    </row>
    <row r="9" spans="2:9" ht="15" customHeight="1" x14ac:dyDescent="0.2">
      <c r="B9" t="s">
        <v>69</v>
      </c>
      <c r="C9" s="12">
        <v>54</v>
      </c>
      <c r="D9" s="8">
        <v>2.95</v>
      </c>
      <c r="E9" s="12">
        <v>2</v>
      </c>
      <c r="F9" s="8">
        <v>0.28000000000000003</v>
      </c>
      <c r="G9" s="12">
        <v>52</v>
      </c>
      <c r="H9" s="8">
        <v>4.6900000000000004</v>
      </c>
      <c r="I9" s="12">
        <v>0</v>
      </c>
    </row>
    <row r="10" spans="2:9" ht="15" customHeight="1" x14ac:dyDescent="0.2">
      <c r="B10" t="s">
        <v>70</v>
      </c>
      <c r="C10" s="12">
        <v>13</v>
      </c>
      <c r="D10" s="8">
        <v>0.71</v>
      </c>
      <c r="E10" s="12">
        <v>3</v>
      </c>
      <c r="F10" s="8">
        <v>0.42</v>
      </c>
      <c r="G10" s="12">
        <v>10</v>
      </c>
      <c r="H10" s="8">
        <v>0.9</v>
      </c>
      <c r="I10" s="12">
        <v>0</v>
      </c>
    </row>
    <row r="11" spans="2:9" ht="15" customHeight="1" x14ac:dyDescent="0.2">
      <c r="B11" t="s">
        <v>71</v>
      </c>
      <c r="C11" s="12">
        <v>299</v>
      </c>
      <c r="D11" s="8">
        <v>16.329999999999998</v>
      </c>
      <c r="E11" s="12">
        <v>116</v>
      </c>
      <c r="F11" s="8">
        <v>16.22</v>
      </c>
      <c r="G11" s="12">
        <v>183</v>
      </c>
      <c r="H11" s="8">
        <v>16.52</v>
      </c>
      <c r="I11" s="12">
        <v>0</v>
      </c>
    </row>
    <row r="12" spans="2:9" ht="15" customHeight="1" x14ac:dyDescent="0.2">
      <c r="B12" t="s">
        <v>72</v>
      </c>
      <c r="C12" s="12">
        <v>15</v>
      </c>
      <c r="D12" s="8">
        <v>0.82</v>
      </c>
      <c r="E12" s="12">
        <v>3</v>
      </c>
      <c r="F12" s="8">
        <v>0.42</v>
      </c>
      <c r="G12" s="12">
        <v>12</v>
      </c>
      <c r="H12" s="8">
        <v>1.08</v>
      </c>
      <c r="I12" s="12">
        <v>0</v>
      </c>
    </row>
    <row r="13" spans="2:9" ht="15" customHeight="1" x14ac:dyDescent="0.2">
      <c r="B13" t="s">
        <v>73</v>
      </c>
      <c r="C13" s="12">
        <v>236</v>
      </c>
      <c r="D13" s="8">
        <v>12.89</v>
      </c>
      <c r="E13" s="12">
        <v>64</v>
      </c>
      <c r="F13" s="8">
        <v>8.9499999999999993</v>
      </c>
      <c r="G13" s="12">
        <v>171</v>
      </c>
      <c r="H13" s="8">
        <v>15.43</v>
      </c>
      <c r="I13" s="12">
        <v>1</v>
      </c>
    </row>
    <row r="14" spans="2:9" ht="15" customHeight="1" x14ac:dyDescent="0.2">
      <c r="B14" t="s">
        <v>74</v>
      </c>
      <c r="C14" s="12">
        <v>109</v>
      </c>
      <c r="D14" s="8">
        <v>5.95</v>
      </c>
      <c r="E14" s="12">
        <v>49</v>
      </c>
      <c r="F14" s="8">
        <v>6.85</v>
      </c>
      <c r="G14" s="12">
        <v>59</v>
      </c>
      <c r="H14" s="8">
        <v>5.32</v>
      </c>
      <c r="I14" s="12">
        <v>0</v>
      </c>
    </row>
    <row r="15" spans="2:9" ht="15" customHeight="1" x14ac:dyDescent="0.2">
      <c r="B15" t="s">
        <v>75</v>
      </c>
      <c r="C15" s="12">
        <v>146</v>
      </c>
      <c r="D15" s="8">
        <v>7.97</v>
      </c>
      <c r="E15" s="12">
        <v>106</v>
      </c>
      <c r="F15" s="8">
        <v>14.83</v>
      </c>
      <c r="G15" s="12">
        <v>40</v>
      </c>
      <c r="H15" s="8">
        <v>3.61</v>
      </c>
      <c r="I15" s="12">
        <v>0</v>
      </c>
    </row>
    <row r="16" spans="2:9" ht="15" customHeight="1" x14ac:dyDescent="0.2">
      <c r="B16" t="s">
        <v>76</v>
      </c>
      <c r="C16" s="12">
        <v>193</v>
      </c>
      <c r="D16" s="8">
        <v>10.54</v>
      </c>
      <c r="E16" s="12">
        <v>121</v>
      </c>
      <c r="F16" s="8">
        <v>16.920000000000002</v>
      </c>
      <c r="G16" s="12">
        <v>72</v>
      </c>
      <c r="H16" s="8">
        <v>6.5</v>
      </c>
      <c r="I16" s="12">
        <v>0</v>
      </c>
    </row>
    <row r="17" spans="2:9" ht="15" customHeight="1" x14ac:dyDescent="0.2">
      <c r="B17" t="s">
        <v>77</v>
      </c>
      <c r="C17" s="12">
        <v>100</v>
      </c>
      <c r="D17" s="8">
        <v>5.46</v>
      </c>
      <c r="E17" s="12">
        <v>69</v>
      </c>
      <c r="F17" s="8">
        <v>9.65</v>
      </c>
      <c r="G17" s="12">
        <v>29</v>
      </c>
      <c r="H17" s="8">
        <v>2.62</v>
      </c>
      <c r="I17" s="12">
        <v>0</v>
      </c>
    </row>
    <row r="18" spans="2:9" ht="15" customHeight="1" x14ac:dyDescent="0.2">
      <c r="B18" t="s">
        <v>78</v>
      </c>
      <c r="C18" s="12">
        <v>117</v>
      </c>
      <c r="D18" s="8">
        <v>6.39</v>
      </c>
      <c r="E18" s="12">
        <v>72</v>
      </c>
      <c r="F18" s="8">
        <v>10.07</v>
      </c>
      <c r="G18" s="12">
        <v>41</v>
      </c>
      <c r="H18" s="8">
        <v>3.7</v>
      </c>
      <c r="I18" s="12">
        <v>0</v>
      </c>
    </row>
    <row r="19" spans="2:9" ht="15" customHeight="1" x14ac:dyDescent="0.2">
      <c r="B19" t="s">
        <v>79</v>
      </c>
      <c r="C19" s="12">
        <v>58</v>
      </c>
      <c r="D19" s="8">
        <v>3.17</v>
      </c>
      <c r="E19" s="12">
        <v>16</v>
      </c>
      <c r="F19" s="8">
        <v>2.2400000000000002</v>
      </c>
      <c r="G19" s="12">
        <v>42</v>
      </c>
      <c r="H19" s="8">
        <v>3.79</v>
      </c>
      <c r="I19" s="12">
        <v>0</v>
      </c>
    </row>
    <row r="20" spans="2:9" ht="15" customHeight="1" x14ac:dyDescent="0.2">
      <c r="B20" s="9" t="s">
        <v>280</v>
      </c>
      <c r="C20" s="12">
        <f>SUM(LTBL_13222[総数／事業所数])</f>
        <v>1831</v>
      </c>
      <c r="E20" s="12">
        <f>SUBTOTAL(109,LTBL_13222[個人／事業所数])</f>
        <v>715</v>
      </c>
      <c r="G20" s="12">
        <f>SUBTOTAL(109,LTBL_13222[法人／事業所数])</f>
        <v>1108</v>
      </c>
      <c r="I20" s="12">
        <f>SUBTOTAL(109,LTBL_13222[法人以外の団体／事業所数])</f>
        <v>1</v>
      </c>
    </row>
    <row r="21" spans="2:9" ht="15" customHeight="1" x14ac:dyDescent="0.2">
      <c r="E21" s="11">
        <f>LTBL_13222[[#Totals],[個人／事業所数]]/LTBL_13222[[#Totals],[総数／事業所数]]</f>
        <v>0.39049699617695249</v>
      </c>
      <c r="G21" s="11">
        <f>LTBL_13222[[#Totals],[法人／事業所数]]/LTBL_13222[[#Totals],[総数／事業所数]]</f>
        <v>0.60513380666302563</v>
      </c>
      <c r="I21" s="11">
        <f>LTBL_13222[[#Totals],[法人以外の団体／事業所数]]/LTBL_13222[[#Totals],[総数／事業所数]]</f>
        <v>5.461496450027307E-4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203</v>
      </c>
      <c r="D24" s="8">
        <v>11.09</v>
      </c>
      <c r="E24" s="12">
        <v>62</v>
      </c>
      <c r="F24" s="8">
        <v>8.67</v>
      </c>
      <c r="G24" s="12">
        <v>140</v>
      </c>
      <c r="H24" s="8">
        <v>12.64</v>
      </c>
      <c r="I24" s="12">
        <v>1</v>
      </c>
    </row>
    <row r="25" spans="2:9" ht="15" customHeight="1" x14ac:dyDescent="0.2">
      <c r="B25" t="s">
        <v>104</v>
      </c>
      <c r="C25" s="12">
        <v>163</v>
      </c>
      <c r="D25" s="8">
        <v>8.9</v>
      </c>
      <c r="E25" s="12">
        <v>110</v>
      </c>
      <c r="F25" s="8">
        <v>15.38</v>
      </c>
      <c r="G25" s="12">
        <v>53</v>
      </c>
      <c r="H25" s="8">
        <v>4.78</v>
      </c>
      <c r="I25" s="12">
        <v>0</v>
      </c>
    </row>
    <row r="26" spans="2:9" ht="15" customHeight="1" x14ac:dyDescent="0.2">
      <c r="B26" t="s">
        <v>89</v>
      </c>
      <c r="C26" s="12">
        <v>152</v>
      </c>
      <c r="D26" s="8">
        <v>8.3000000000000007</v>
      </c>
      <c r="E26" s="12">
        <v>33</v>
      </c>
      <c r="F26" s="8">
        <v>4.62</v>
      </c>
      <c r="G26" s="12">
        <v>119</v>
      </c>
      <c r="H26" s="8">
        <v>10.74</v>
      </c>
      <c r="I26" s="12">
        <v>0</v>
      </c>
    </row>
    <row r="27" spans="2:9" ht="15" customHeight="1" x14ac:dyDescent="0.2">
      <c r="B27" t="s">
        <v>103</v>
      </c>
      <c r="C27" s="12">
        <v>130</v>
      </c>
      <c r="D27" s="8">
        <v>7.1</v>
      </c>
      <c r="E27" s="12">
        <v>102</v>
      </c>
      <c r="F27" s="8">
        <v>14.27</v>
      </c>
      <c r="G27" s="12">
        <v>28</v>
      </c>
      <c r="H27" s="8">
        <v>2.5299999999999998</v>
      </c>
      <c r="I27" s="12">
        <v>0</v>
      </c>
    </row>
    <row r="28" spans="2:9" ht="15" customHeight="1" x14ac:dyDescent="0.2">
      <c r="B28" t="s">
        <v>88</v>
      </c>
      <c r="C28" s="12">
        <v>113</v>
      </c>
      <c r="D28" s="8">
        <v>6.17</v>
      </c>
      <c r="E28" s="12">
        <v>24</v>
      </c>
      <c r="F28" s="8">
        <v>3.36</v>
      </c>
      <c r="G28" s="12">
        <v>89</v>
      </c>
      <c r="H28" s="8">
        <v>8.0299999999999994</v>
      </c>
      <c r="I28" s="12">
        <v>0</v>
      </c>
    </row>
    <row r="29" spans="2:9" ht="15" customHeight="1" x14ac:dyDescent="0.2">
      <c r="B29" t="s">
        <v>90</v>
      </c>
      <c r="C29" s="12">
        <v>111</v>
      </c>
      <c r="D29" s="8">
        <v>6.06</v>
      </c>
      <c r="E29" s="12">
        <v>23</v>
      </c>
      <c r="F29" s="8">
        <v>3.22</v>
      </c>
      <c r="G29" s="12">
        <v>88</v>
      </c>
      <c r="H29" s="8">
        <v>7.94</v>
      </c>
      <c r="I29" s="12">
        <v>0</v>
      </c>
    </row>
    <row r="30" spans="2:9" ht="15" customHeight="1" x14ac:dyDescent="0.2">
      <c r="B30" t="s">
        <v>105</v>
      </c>
      <c r="C30" s="12">
        <v>100</v>
      </c>
      <c r="D30" s="8">
        <v>5.46</v>
      </c>
      <c r="E30" s="12">
        <v>69</v>
      </c>
      <c r="F30" s="8">
        <v>9.65</v>
      </c>
      <c r="G30" s="12">
        <v>29</v>
      </c>
      <c r="H30" s="8">
        <v>2.62</v>
      </c>
      <c r="I30" s="12">
        <v>0</v>
      </c>
    </row>
    <row r="31" spans="2:9" ht="15" customHeight="1" x14ac:dyDescent="0.2">
      <c r="B31" t="s">
        <v>98</v>
      </c>
      <c r="C31" s="12">
        <v>90</v>
      </c>
      <c r="D31" s="8">
        <v>4.92</v>
      </c>
      <c r="E31" s="12">
        <v>35</v>
      </c>
      <c r="F31" s="8">
        <v>4.9000000000000004</v>
      </c>
      <c r="G31" s="12">
        <v>55</v>
      </c>
      <c r="H31" s="8">
        <v>4.96</v>
      </c>
      <c r="I31" s="12">
        <v>0</v>
      </c>
    </row>
    <row r="32" spans="2:9" ht="15" customHeight="1" x14ac:dyDescent="0.2">
      <c r="B32" t="s">
        <v>106</v>
      </c>
      <c r="C32" s="12">
        <v>81</v>
      </c>
      <c r="D32" s="8">
        <v>4.42</v>
      </c>
      <c r="E32" s="12">
        <v>71</v>
      </c>
      <c r="F32" s="8">
        <v>9.93</v>
      </c>
      <c r="G32" s="12">
        <v>10</v>
      </c>
      <c r="H32" s="8">
        <v>0.9</v>
      </c>
      <c r="I32" s="12">
        <v>0</v>
      </c>
    </row>
    <row r="33" spans="2:9" ht="15" customHeight="1" x14ac:dyDescent="0.2">
      <c r="B33" t="s">
        <v>101</v>
      </c>
      <c r="C33" s="12">
        <v>54</v>
      </c>
      <c r="D33" s="8">
        <v>2.95</v>
      </c>
      <c r="E33" s="12">
        <v>30</v>
      </c>
      <c r="F33" s="8">
        <v>4.2</v>
      </c>
      <c r="G33" s="12">
        <v>24</v>
      </c>
      <c r="H33" s="8">
        <v>2.17</v>
      </c>
      <c r="I33" s="12">
        <v>0</v>
      </c>
    </row>
    <row r="34" spans="2:9" ht="15" customHeight="1" x14ac:dyDescent="0.2">
      <c r="B34" t="s">
        <v>102</v>
      </c>
      <c r="C34" s="12">
        <v>51</v>
      </c>
      <c r="D34" s="8">
        <v>2.79</v>
      </c>
      <c r="E34" s="12">
        <v>19</v>
      </c>
      <c r="F34" s="8">
        <v>2.66</v>
      </c>
      <c r="G34" s="12">
        <v>31</v>
      </c>
      <c r="H34" s="8">
        <v>2.8</v>
      </c>
      <c r="I34" s="12">
        <v>0</v>
      </c>
    </row>
    <row r="35" spans="2:9" ht="15" customHeight="1" x14ac:dyDescent="0.2">
      <c r="B35" t="s">
        <v>96</v>
      </c>
      <c r="C35" s="12">
        <v>47</v>
      </c>
      <c r="D35" s="8">
        <v>2.57</v>
      </c>
      <c r="E35" s="12">
        <v>36</v>
      </c>
      <c r="F35" s="8">
        <v>5.03</v>
      </c>
      <c r="G35" s="12">
        <v>11</v>
      </c>
      <c r="H35" s="8">
        <v>0.99</v>
      </c>
      <c r="I35" s="12">
        <v>0</v>
      </c>
    </row>
    <row r="36" spans="2:9" ht="15" customHeight="1" x14ac:dyDescent="0.2">
      <c r="B36" t="s">
        <v>132</v>
      </c>
      <c r="C36" s="12">
        <v>36</v>
      </c>
      <c r="D36" s="8">
        <v>1.97</v>
      </c>
      <c r="E36" s="12">
        <v>1</v>
      </c>
      <c r="F36" s="8">
        <v>0.14000000000000001</v>
      </c>
      <c r="G36" s="12">
        <v>31</v>
      </c>
      <c r="H36" s="8">
        <v>2.8</v>
      </c>
      <c r="I36" s="12">
        <v>0</v>
      </c>
    </row>
    <row r="37" spans="2:9" ht="15" customHeight="1" x14ac:dyDescent="0.2">
      <c r="B37" t="s">
        <v>97</v>
      </c>
      <c r="C37" s="12">
        <v>33</v>
      </c>
      <c r="D37" s="8">
        <v>1.8</v>
      </c>
      <c r="E37" s="12">
        <v>15</v>
      </c>
      <c r="F37" s="8">
        <v>2.1</v>
      </c>
      <c r="G37" s="12">
        <v>18</v>
      </c>
      <c r="H37" s="8">
        <v>1.62</v>
      </c>
      <c r="I37" s="12">
        <v>0</v>
      </c>
    </row>
    <row r="38" spans="2:9" ht="15" customHeight="1" x14ac:dyDescent="0.2">
      <c r="B38" t="s">
        <v>91</v>
      </c>
      <c r="C38" s="12">
        <v>31</v>
      </c>
      <c r="D38" s="8">
        <v>1.69</v>
      </c>
      <c r="E38" s="12">
        <v>0</v>
      </c>
      <c r="F38" s="8">
        <v>0</v>
      </c>
      <c r="G38" s="12">
        <v>31</v>
      </c>
      <c r="H38" s="8">
        <v>2.8</v>
      </c>
      <c r="I38" s="12">
        <v>0</v>
      </c>
    </row>
    <row r="39" spans="2:9" ht="15" customHeight="1" x14ac:dyDescent="0.2">
      <c r="B39" t="s">
        <v>95</v>
      </c>
      <c r="C39" s="12">
        <v>30</v>
      </c>
      <c r="D39" s="8">
        <v>1.64</v>
      </c>
      <c r="E39" s="12">
        <v>18</v>
      </c>
      <c r="F39" s="8">
        <v>2.52</v>
      </c>
      <c r="G39" s="12">
        <v>12</v>
      </c>
      <c r="H39" s="8">
        <v>1.08</v>
      </c>
      <c r="I39" s="12">
        <v>0</v>
      </c>
    </row>
    <row r="40" spans="2:9" ht="15" customHeight="1" x14ac:dyDescent="0.2">
      <c r="B40" t="s">
        <v>99</v>
      </c>
      <c r="C40" s="12">
        <v>29</v>
      </c>
      <c r="D40" s="8">
        <v>1.58</v>
      </c>
      <c r="E40" s="12">
        <v>2</v>
      </c>
      <c r="F40" s="8">
        <v>0.28000000000000003</v>
      </c>
      <c r="G40" s="12">
        <v>27</v>
      </c>
      <c r="H40" s="8">
        <v>2.44</v>
      </c>
      <c r="I40" s="12">
        <v>0</v>
      </c>
    </row>
    <row r="41" spans="2:9" ht="15" customHeight="1" x14ac:dyDescent="0.2">
      <c r="B41" t="s">
        <v>94</v>
      </c>
      <c r="C41" s="12">
        <v>28</v>
      </c>
      <c r="D41" s="8">
        <v>1.53</v>
      </c>
      <c r="E41" s="12">
        <v>2</v>
      </c>
      <c r="F41" s="8">
        <v>0.28000000000000003</v>
      </c>
      <c r="G41" s="12">
        <v>26</v>
      </c>
      <c r="H41" s="8">
        <v>2.35</v>
      </c>
      <c r="I41" s="12">
        <v>0</v>
      </c>
    </row>
    <row r="42" spans="2:9" ht="15" customHeight="1" x14ac:dyDescent="0.2">
      <c r="B42" t="s">
        <v>107</v>
      </c>
      <c r="C42" s="12">
        <v>28</v>
      </c>
      <c r="D42" s="8">
        <v>1.53</v>
      </c>
      <c r="E42" s="12">
        <v>1</v>
      </c>
      <c r="F42" s="8">
        <v>0.14000000000000001</v>
      </c>
      <c r="G42" s="12">
        <v>27</v>
      </c>
      <c r="H42" s="8">
        <v>2.44</v>
      </c>
      <c r="I42" s="12">
        <v>0</v>
      </c>
    </row>
    <row r="43" spans="2:9" ht="15" customHeight="1" x14ac:dyDescent="0.2">
      <c r="B43" t="s">
        <v>115</v>
      </c>
      <c r="C43" s="12">
        <v>21</v>
      </c>
      <c r="D43" s="8">
        <v>1.1499999999999999</v>
      </c>
      <c r="E43" s="12">
        <v>9</v>
      </c>
      <c r="F43" s="8">
        <v>1.26</v>
      </c>
      <c r="G43" s="12">
        <v>12</v>
      </c>
      <c r="H43" s="8">
        <v>1.08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107</v>
      </c>
      <c r="D47" s="8">
        <v>5.84</v>
      </c>
      <c r="E47" s="12">
        <v>45</v>
      </c>
      <c r="F47" s="8">
        <v>6.29</v>
      </c>
      <c r="G47" s="12">
        <v>62</v>
      </c>
      <c r="H47" s="8">
        <v>5.6</v>
      </c>
      <c r="I47" s="12">
        <v>0</v>
      </c>
    </row>
    <row r="48" spans="2:9" ht="15" customHeight="1" x14ac:dyDescent="0.2">
      <c r="B48" t="s">
        <v>172</v>
      </c>
      <c r="C48" s="12">
        <v>71</v>
      </c>
      <c r="D48" s="8">
        <v>3.88</v>
      </c>
      <c r="E48" s="12">
        <v>52</v>
      </c>
      <c r="F48" s="8">
        <v>7.27</v>
      </c>
      <c r="G48" s="12">
        <v>19</v>
      </c>
      <c r="H48" s="8">
        <v>1.71</v>
      </c>
      <c r="I48" s="12">
        <v>0</v>
      </c>
    </row>
    <row r="49" spans="2:9" ht="15" customHeight="1" x14ac:dyDescent="0.2">
      <c r="B49" t="s">
        <v>173</v>
      </c>
      <c r="C49" s="12">
        <v>70</v>
      </c>
      <c r="D49" s="8">
        <v>3.82</v>
      </c>
      <c r="E49" s="12">
        <v>52</v>
      </c>
      <c r="F49" s="8">
        <v>7.27</v>
      </c>
      <c r="G49" s="12">
        <v>18</v>
      </c>
      <c r="H49" s="8">
        <v>1.62</v>
      </c>
      <c r="I49" s="12">
        <v>0</v>
      </c>
    </row>
    <row r="50" spans="2:9" ht="15" customHeight="1" x14ac:dyDescent="0.2">
      <c r="B50" t="s">
        <v>175</v>
      </c>
      <c r="C50" s="12">
        <v>56</v>
      </c>
      <c r="D50" s="8">
        <v>3.06</v>
      </c>
      <c r="E50" s="12">
        <v>49</v>
      </c>
      <c r="F50" s="8">
        <v>6.85</v>
      </c>
      <c r="G50" s="12">
        <v>7</v>
      </c>
      <c r="H50" s="8">
        <v>0.63</v>
      </c>
      <c r="I50" s="12">
        <v>0</v>
      </c>
    </row>
    <row r="51" spans="2:9" ht="15" customHeight="1" x14ac:dyDescent="0.2">
      <c r="B51" t="s">
        <v>163</v>
      </c>
      <c r="C51" s="12">
        <v>48</v>
      </c>
      <c r="D51" s="8">
        <v>2.62</v>
      </c>
      <c r="E51" s="12">
        <v>4</v>
      </c>
      <c r="F51" s="8">
        <v>0.56000000000000005</v>
      </c>
      <c r="G51" s="12">
        <v>44</v>
      </c>
      <c r="H51" s="8">
        <v>3.97</v>
      </c>
      <c r="I51" s="12">
        <v>0</v>
      </c>
    </row>
    <row r="52" spans="2:9" ht="15" customHeight="1" x14ac:dyDescent="0.2">
      <c r="B52" t="s">
        <v>201</v>
      </c>
      <c r="C52" s="12">
        <v>46</v>
      </c>
      <c r="D52" s="8">
        <v>2.5099999999999998</v>
      </c>
      <c r="E52" s="12">
        <v>11</v>
      </c>
      <c r="F52" s="8">
        <v>1.54</v>
      </c>
      <c r="G52" s="12">
        <v>35</v>
      </c>
      <c r="H52" s="8">
        <v>3.16</v>
      </c>
      <c r="I52" s="12">
        <v>0</v>
      </c>
    </row>
    <row r="53" spans="2:9" ht="15" customHeight="1" x14ac:dyDescent="0.2">
      <c r="B53" t="s">
        <v>192</v>
      </c>
      <c r="C53" s="12">
        <v>43</v>
      </c>
      <c r="D53" s="8">
        <v>2.35</v>
      </c>
      <c r="E53" s="12">
        <v>10</v>
      </c>
      <c r="F53" s="8">
        <v>1.4</v>
      </c>
      <c r="G53" s="12">
        <v>33</v>
      </c>
      <c r="H53" s="8">
        <v>2.98</v>
      </c>
      <c r="I53" s="12">
        <v>0</v>
      </c>
    </row>
    <row r="54" spans="2:9" ht="15" customHeight="1" x14ac:dyDescent="0.2">
      <c r="B54" t="s">
        <v>200</v>
      </c>
      <c r="C54" s="12">
        <v>41</v>
      </c>
      <c r="D54" s="8">
        <v>2.2400000000000002</v>
      </c>
      <c r="E54" s="12">
        <v>8</v>
      </c>
      <c r="F54" s="8">
        <v>1.1200000000000001</v>
      </c>
      <c r="G54" s="12">
        <v>33</v>
      </c>
      <c r="H54" s="8">
        <v>2.98</v>
      </c>
      <c r="I54" s="12">
        <v>0</v>
      </c>
    </row>
    <row r="55" spans="2:9" ht="15" customHeight="1" x14ac:dyDescent="0.2">
      <c r="B55" t="s">
        <v>197</v>
      </c>
      <c r="C55" s="12">
        <v>39</v>
      </c>
      <c r="D55" s="8">
        <v>2.13</v>
      </c>
      <c r="E55" s="12">
        <v>15</v>
      </c>
      <c r="F55" s="8">
        <v>2.1</v>
      </c>
      <c r="G55" s="12">
        <v>24</v>
      </c>
      <c r="H55" s="8">
        <v>2.17</v>
      </c>
      <c r="I55" s="12">
        <v>0</v>
      </c>
    </row>
    <row r="56" spans="2:9" ht="15" customHeight="1" x14ac:dyDescent="0.2">
      <c r="B56" t="s">
        <v>171</v>
      </c>
      <c r="C56" s="12">
        <v>38</v>
      </c>
      <c r="D56" s="8">
        <v>2.08</v>
      </c>
      <c r="E56" s="12">
        <v>34</v>
      </c>
      <c r="F56" s="8">
        <v>4.76</v>
      </c>
      <c r="G56" s="12">
        <v>4</v>
      </c>
      <c r="H56" s="8">
        <v>0.36</v>
      </c>
      <c r="I56" s="12">
        <v>0</v>
      </c>
    </row>
    <row r="57" spans="2:9" ht="15" customHeight="1" x14ac:dyDescent="0.2">
      <c r="B57" t="s">
        <v>168</v>
      </c>
      <c r="C57" s="12">
        <v>37</v>
      </c>
      <c r="D57" s="8">
        <v>2.02</v>
      </c>
      <c r="E57" s="12">
        <v>24</v>
      </c>
      <c r="F57" s="8">
        <v>3.36</v>
      </c>
      <c r="G57" s="12">
        <v>13</v>
      </c>
      <c r="H57" s="8">
        <v>1.17</v>
      </c>
      <c r="I57" s="12">
        <v>0</v>
      </c>
    </row>
    <row r="58" spans="2:9" ht="15" customHeight="1" x14ac:dyDescent="0.2">
      <c r="B58" t="s">
        <v>208</v>
      </c>
      <c r="C58" s="12">
        <v>34</v>
      </c>
      <c r="D58" s="8">
        <v>1.86</v>
      </c>
      <c r="E58" s="12">
        <v>6</v>
      </c>
      <c r="F58" s="8">
        <v>0.84</v>
      </c>
      <c r="G58" s="12">
        <v>28</v>
      </c>
      <c r="H58" s="8">
        <v>2.5299999999999998</v>
      </c>
      <c r="I58" s="12">
        <v>0</v>
      </c>
    </row>
    <row r="59" spans="2:9" ht="15" customHeight="1" x14ac:dyDescent="0.2">
      <c r="B59" t="s">
        <v>169</v>
      </c>
      <c r="C59" s="12">
        <v>32</v>
      </c>
      <c r="D59" s="8">
        <v>1.75</v>
      </c>
      <c r="E59" s="12">
        <v>28</v>
      </c>
      <c r="F59" s="8">
        <v>3.92</v>
      </c>
      <c r="G59" s="12">
        <v>4</v>
      </c>
      <c r="H59" s="8">
        <v>0.36</v>
      </c>
      <c r="I59" s="12">
        <v>0</v>
      </c>
    </row>
    <row r="60" spans="2:9" ht="15" customHeight="1" x14ac:dyDescent="0.2">
      <c r="B60" t="s">
        <v>159</v>
      </c>
      <c r="C60" s="12">
        <v>30</v>
      </c>
      <c r="D60" s="8">
        <v>1.64</v>
      </c>
      <c r="E60" s="12">
        <v>18</v>
      </c>
      <c r="F60" s="8">
        <v>2.52</v>
      </c>
      <c r="G60" s="12">
        <v>12</v>
      </c>
      <c r="H60" s="8">
        <v>1.08</v>
      </c>
      <c r="I60" s="12">
        <v>0</v>
      </c>
    </row>
    <row r="61" spans="2:9" ht="15" customHeight="1" x14ac:dyDescent="0.2">
      <c r="B61" t="s">
        <v>161</v>
      </c>
      <c r="C61" s="12">
        <v>30</v>
      </c>
      <c r="D61" s="8">
        <v>1.64</v>
      </c>
      <c r="E61" s="12">
        <v>4</v>
      </c>
      <c r="F61" s="8">
        <v>0.56000000000000005</v>
      </c>
      <c r="G61" s="12">
        <v>26</v>
      </c>
      <c r="H61" s="8">
        <v>2.35</v>
      </c>
      <c r="I61" s="12">
        <v>0</v>
      </c>
    </row>
    <row r="62" spans="2:9" ht="15" customHeight="1" x14ac:dyDescent="0.2">
      <c r="B62" t="s">
        <v>167</v>
      </c>
      <c r="C62" s="12">
        <v>30</v>
      </c>
      <c r="D62" s="8">
        <v>1.64</v>
      </c>
      <c r="E62" s="12">
        <v>8</v>
      </c>
      <c r="F62" s="8">
        <v>1.1200000000000001</v>
      </c>
      <c r="G62" s="12">
        <v>21</v>
      </c>
      <c r="H62" s="8">
        <v>1.9</v>
      </c>
      <c r="I62" s="12">
        <v>0</v>
      </c>
    </row>
    <row r="63" spans="2:9" ht="15" customHeight="1" x14ac:dyDescent="0.2">
      <c r="B63" t="s">
        <v>195</v>
      </c>
      <c r="C63" s="12">
        <v>29</v>
      </c>
      <c r="D63" s="8">
        <v>1.58</v>
      </c>
      <c r="E63" s="12">
        <v>7</v>
      </c>
      <c r="F63" s="8">
        <v>0.98</v>
      </c>
      <c r="G63" s="12">
        <v>22</v>
      </c>
      <c r="H63" s="8">
        <v>1.99</v>
      </c>
      <c r="I63" s="12">
        <v>0</v>
      </c>
    </row>
    <row r="64" spans="2:9" ht="15" customHeight="1" x14ac:dyDescent="0.2">
      <c r="B64" t="s">
        <v>206</v>
      </c>
      <c r="C64" s="12">
        <v>27</v>
      </c>
      <c r="D64" s="8">
        <v>1.47</v>
      </c>
      <c r="E64" s="12">
        <v>4</v>
      </c>
      <c r="F64" s="8">
        <v>0.56000000000000005</v>
      </c>
      <c r="G64" s="12">
        <v>23</v>
      </c>
      <c r="H64" s="8">
        <v>2.08</v>
      </c>
      <c r="I64" s="12">
        <v>0</v>
      </c>
    </row>
    <row r="65" spans="2:9" ht="15" customHeight="1" x14ac:dyDescent="0.2">
      <c r="B65" t="s">
        <v>226</v>
      </c>
      <c r="C65" s="12">
        <v>27</v>
      </c>
      <c r="D65" s="8">
        <v>1.47</v>
      </c>
      <c r="E65" s="12">
        <v>9</v>
      </c>
      <c r="F65" s="8">
        <v>1.26</v>
      </c>
      <c r="G65" s="12">
        <v>18</v>
      </c>
      <c r="H65" s="8">
        <v>1.62</v>
      </c>
      <c r="I65" s="12">
        <v>0</v>
      </c>
    </row>
    <row r="66" spans="2:9" ht="15" customHeight="1" x14ac:dyDescent="0.2">
      <c r="B66" t="s">
        <v>157</v>
      </c>
      <c r="C66" s="12">
        <v>26</v>
      </c>
      <c r="D66" s="8">
        <v>1.42</v>
      </c>
      <c r="E66" s="12">
        <v>0</v>
      </c>
      <c r="F66" s="8">
        <v>0</v>
      </c>
      <c r="G66" s="12">
        <v>26</v>
      </c>
      <c r="H66" s="8">
        <v>2.35</v>
      </c>
      <c r="I66" s="12">
        <v>0</v>
      </c>
    </row>
    <row r="67" spans="2:9" ht="15" customHeight="1" x14ac:dyDescent="0.2">
      <c r="B67" t="s">
        <v>225</v>
      </c>
      <c r="C67" s="12">
        <v>26</v>
      </c>
      <c r="D67" s="8">
        <v>1.42</v>
      </c>
      <c r="E67" s="12">
        <v>17</v>
      </c>
      <c r="F67" s="8">
        <v>2.38</v>
      </c>
      <c r="G67" s="12">
        <v>9</v>
      </c>
      <c r="H67" s="8">
        <v>0.81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9AAC-9E14-45B9-922B-474CF65305F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352</v>
      </c>
      <c r="D6" s="8">
        <v>26</v>
      </c>
      <c r="E6" s="12">
        <v>64</v>
      </c>
      <c r="F6" s="8">
        <v>13.09</v>
      </c>
      <c r="G6" s="12">
        <v>288</v>
      </c>
      <c r="H6" s="8">
        <v>33.68</v>
      </c>
      <c r="I6" s="12">
        <v>0</v>
      </c>
    </row>
    <row r="7" spans="2:9" ht="15" customHeight="1" x14ac:dyDescent="0.2">
      <c r="B7" t="s">
        <v>67</v>
      </c>
      <c r="C7" s="12">
        <v>182</v>
      </c>
      <c r="D7" s="8">
        <v>13.44</v>
      </c>
      <c r="E7" s="12">
        <v>29</v>
      </c>
      <c r="F7" s="8">
        <v>5.93</v>
      </c>
      <c r="G7" s="12">
        <v>153</v>
      </c>
      <c r="H7" s="8">
        <v>17.89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69</v>
      </c>
      <c r="C9" s="12">
        <v>7</v>
      </c>
      <c r="D9" s="8">
        <v>0.52</v>
      </c>
      <c r="E9" s="12">
        <v>0</v>
      </c>
      <c r="F9" s="8">
        <v>0</v>
      </c>
      <c r="G9" s="12">
        <v>7</v>
      </c>
      <c r="H9" s="8">
        <v>0.82</v>
      </c>
      <c r="I9" s="12">
        <v>0</v>
      </c>
    </row>
    <row r="10" spans="2:9" ht="15" customHeight="1" x14ac:dyDescent="0.2">
      <c r="B10" t="s">
        <v>70</v>
      </c>
      <c r="C10" s="12">
        <v>16</v>
      </c>
      <c r="D10" s="8">
        <v>1.18</v>
      </c>
      <c r="E10" s="12">
        <v>4</v>
      </c>
      <c r="F10" s="8">
        <v>0.82</v>
      </c>
      <c r="G10" s="12">
        <v>12</v>
      </c>
      <c r="H10" s="8">
        <v>1.4</v>
      </c>
      <c r="I10" s="12">
        <v>0</v>
      </c>
    </row>
    <row r="11" spans="2:9" ht="15" customHeight="1" x14ac:dyDescent="0.2">
      <c r="B11" t="s">
        <v>71</v>
      </c>
      <c r="C11" s="12">
        <v>264</v>
      </c>
      <c r="D11" s="8">
        <v>19.5</v>
      </c>
      <c r="E11" s="12">
        <v>98</v>
      </c>
      <c r="F11" s="8">
        <v>20.04</v>
      </c>
      <c r="G11" s="12">
        <v>166</v>
      </c>
      <c r="H11" s="8">
        <v>19.420000000000002</v>
      </c>
      <c r="I11" s="12">
        <v>0</v>
      </c>
    </row>
    <row r="12" spans="2:9" ht="15" customHeight="1" x14ac:dyDescent="0.2">
      <c r="B12" t="s">
        <v>72</v>
      </c>
      <c r="C12" s="12">
        <v>3</v>
      </c>
      <c r="D12" s="8">
        <v>0.22</v>
      </c>
      <c r="E12" s="12">
        <v>1</v>
      </c>
      <c r="F12" s="8">
        <v>0.2</v>
      </c>
      <c r="G12" s="12">
        <v>2</v>
      </c>
      <c r="H12" s="8">
        <v>0.23</v>
      </c>
      <c r="I12" s="12">
        <v>0</v>
      </c>
    </row>
    <row r="13" spans="2:9" ht="15" customHeight="1" x14ac:dyDescent="0.2">
      <c r="B13" t="s">
        <v>73</v>
      </c>
      <c r="C13" s="12">
        <v>95</v>
      </c>
      <c r="D13" s="8">
        <v>7.02</v>
      </c>
      <c r="E13" s="12">
        <v>2</v>
      </c>
      <c r="F13" s="8">
        <v>0.41</v>
      </c>
      <c r="G13" s="12">
        <v>93</v>
      </c>
      <c r="H13" s="8">
        <v>10.88</v>
      </c>
      <c r="I13" s="12">
        <v>0</v>
      </c>
    </row>
    <row r="14" spans="2:9" ht="15" customHeight="1" x14ac:dyDescent="0.2">
      <c r="B14" t="s">
        <v>74</v>
      </c>
      <c r="C14" s="12">
        <v>60</v>
      </c>
      <c r="D14" s="8">
        <v>4.43</v>
      </c>
      <c r="E14" s="12">
        <v>27</v>
      </c>
      <c r="F14" s="8">
        <v>5.52</v>
      </c>
      <c r="G14" s="12">
        <v>33</v>
      </c>
      <c r="H14" s="8">
        <v>3.86</v>
      </c>
      <c r="I14" s="12">
        <v>0</v>
      </c>
    </row>
    <row r="15" spans="2:9" ht="15" customHeight="1" x14ac:dyDescent="0.2">
      <c r="B15" t="s">
        <v>75</v>
      </c>
      <c r="C15" s="12">
        <v>109</v>
      </c>
      <c r="D15" s="8">
        <v>8.0500000000000007</v>
      </c>
      <c r="E15" s="12">
        <v>89</v>
      </c>
      <c r="F15" s="8">
        <v>18.2</v>
      </c>
      <c r="G15" s="12">
        <v>20</v>
      </c>
      <c r="H15" s="8">
        <v>2.34</v>
      </c>
      <c r="I15" s="12">
        <v>0</v>
      </c>
    </row>
    <row r="16" spans="2:9" ht="15" customHeight="1" x14ac:dyDescent="0.2">
      <c r="B16" t="s">
        <v>76</v>
      </c>
      <c r="C16" s="12">
        <v>116</v>
      </c>
      <c r="D16" s="8">
        <v>8.57</v>
      </c>
      <c r="E16" s="12">
        <v>82</v>
      </c>
      <c r="F16" s="8">
        <v>16.77</v>
      </c>
      <c r="G16" s="12">
        <v>34</v>
      </c>
      <c r="H16" s="8">
        <v>3.98</v>
      </c>
      <c r="I16" s="12">
        <v>0</v>
      </c>
    </row>
    <row r="17" spans="2:9" ht="15" customHeight="1" x14ac:dyDescent="0.2">
      <c r="B17" t="s">
        <v>77</v>
      </c>
      <c r="C17" s="12">
        <v>43</v>
      </c>
      <c r="D17" s="8">
        <v>3.18</v>
      </c>
      <c r="E17" s="12">
        <v>34</v>
      </c>
      <c r="F17" s="8">
        <v>6.95</v>
      </c>
      <c r="G17" s="12">
        <v>6</v>
      </c>
      <c r="H17" s="8">
        <v>0.7</v>
      </c>
      <c r="I17" s="12">
        <v>1</v>
      </c>
    </row>
    <row r="18" spans="2:9" ht="15" customHeight="1" x14ac:dyDescent="0.2">
      <c r="B18" t="s">
        <v>78</v>
      </c>
      <c r="C18" s="12">
        <v>50</v>
      </c>
      <c r="D18" s="8">
        <v>3.69</v>
      </c>
      <c r="E18" s="12">
        <v>38</v>
      </c>
      <c r="F18" s="8">
        <v>7.77</v>
      </c>
      <c r="G18" s="12">
        <v>11</v>
      </c>
      <c r="H18" s="8">
        <v>1.29</v>
      </c>
      <c r="I18" s="12">
        <v>0</v>
      </c>
    </row>
    <row r="19" spans="2:9" ht="15" customHeight="1" x14ac:dyDescent="0.2">
      <c r="B19" t="s">
        <v>79</v>
      </c>
      <c r="C19" s="12">
        <v>56</v>
      </c>
      <c r="D19" s="8">
        <v>4.1399999999999997</v>
      </c>
      <c r="E19" s="12">
        <v>21</v>
      </c>
      <c r="F19" s="8">
        <v>4.29</v>
      </c>
      <c r="G19" s="12">
        <v>29</v>
      </c>
      <c r="H19" s="8">
        <v>3.39</v>
      </c>
      <c r="I19" s="12">
        <v>0</v>
      </c>
    </row>
    <row r="20" spans="2:9" ht="15" customHeight="1" x14ac:dyDescent="0.2">
      <c r="B20" s="9" t="s">
        <v>280</v>
      </c>
      <c r="C20" s="12">
        <f>SUM(LTBL_13223[総数／事業所数])</f>
        <v>1354</v>
      </c>
      <c r="E20" s="12">
        <f>SUBTOTAL(109,LTBL_13223[個人／事業所数])</f>
        <v>489</v>
      </c>
      <c r="G20" s="12">
        <f>SUBTOTAL(109,LTBL_13223[法人／事業所数])</f>
        <v>855</v>
      </c>
      <c r="I20" s="12">
        <f>SUBTOTAL(109,LTBL_13223[法人以外の団体／事業所数])</f>
        <v>1</v>
      </c>
    </row>
    <row r="21" spans="2:9" ht="15" customHeight="1" x14ac:dyDescent="0.2">
      <c r="E21" s="11">
        <f>LTBL_13223[[#Totals],[個人／事業所数]]/LTBL_13223[[#Totals],[総数／事業所数]]</f>
        <v>0.36115214180206795</v>
      </c>
      <c r="G21" s="11">
        <f>LTBL_13223[[#Totals],[法人／事業所数]]/LTBL_13223[[#Totals],[総数／事業所数]]</f>
        <v>0.6314623338257016</v>
      </c>
      <c r="I21" s="11">
        <f>LTBL_13223[[#Totals],[法人以外の団体／事業所数]]/LTBL_13223[[#Totals],[総数／事業所数]]</f>
        <v>7.3855243722304289E-4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89</v>
      </c>
      <c r="C24" s="12">
        <v>139</v>
      </c>
      <c r="D24" s="8">
        <v>10.27</v>
      </c>
      <c r="E24" s="12">
        <v>29</v>
      </c>
      <c r="F24" s="8">
        <v>5.93</v>
      </c>
      <c r="G24" s="12">
        <v>110</v>
      </c>
      <c r="H24" s="8">
        <v>12.87</v>
      </c>
      <c r="I24" s="12">
        <v>0</v>
      </c>
    </row>
    <row r="25" spans="2:9" ht="15" customHeight="1" x14ac:dyDescent="0.2">
      <c r="B25" t="s">
        <v>88</v>
      </c>
      <c r="C25" s="12">
        <v>108</v>
      </c>
      <c r="D25" s="8">
        <v>7.98</v>
      </c>
      <c r="E25" s="12">
        <v>17</v>
      </c>
      <c r="F25" s="8">
        <v>3.48</v>
      </c>
      <c r="G25" s="12">
        <v>91</v>
      </c>
      <c r="H25" s="8">
        <v>10.64</v>
      </c>
      <c r="I25" s="12">
        <v>0</v>
      </c>
    </row>
    <row r="26" spans="2:9" ht="15" customHeight="1" x14ac:dyDescent="0.2">
      <c r="B26" t="s">
        <v>90</v>
      </c>
      <c r="C26" s="12">
        <v>105</v>
      </c>
      <c r="D26" s="8">
        <v>7.75</v>
      </c>
      <c r="E26" s="12">
        <v>18</v>
      </c>
      <c r="F26" s="8">
        <v>3.68</v>
      </c>
      <c r="G26" s="12">
        <v>87</v>
      </c>
      <c r="H26" s="8">
        <v>10.18</v>
      </c>
      <c r="I26" s="12">
        <v>0</v>
      </c>
    </row>
    <row r="27" spans="2:9" ht="15" customHeight="1" x14ac:dyDescent="0.2">
      <c r="B27" t="s">
        <v>103</v>
      </c>
      <c r="C27" s="12">
        <v>98</v>
      </c>
      <c r="D27" s="8">
        <v>7.24</v>
      </c>
      <c r="E27" s="12">
        <v>86</v>
      </c>
      <c r="F27" s="8">
        <v>17.59</v>
      </c>
      <c r="G27" s="12">
        <v>12</v>
      </c>
      <c r="H27" s="8">
        <v>1.4</v>
      </c>
      <c r="I27" s="12">
        <v>0</v>
      </c>
    </row>
    <row r="28" spans="2:9" ht="15" customHeight="1" x14ac:dyDescent="0.2">
      <c r="B28" t="s">
        <v>104</v>
      </c>
      <c r="C28" s="12">
        <v>92</v>
      </c>
      <c r="D28" s="8">
        <v>6.79</v>
      </c>
      <c r="E28" s="12">
        <v>74</v>
      </c>
      <c r="F28" s="8">
        <v>15.13</v>
      </c>
      <c r="G28" s="12">
        <v>18</v>
      </c>
      <c r="H28" s="8">
        <v>2.11</v>
      </c>
      <c r="I28" s="12">
        <v>0</v>
      </c>
    </row>
    <row r="29" spans="2:9" ht="15" customHeight="1" x14ac:dyDescent="0.2">
      <c r="B29" t="s">
        <v>97</v>
      </c>
      <c r="C29" s="12">
        <v>66</v>
      </c>
      <c r="D29" s="8">
        <v>4.87</v>
      </c>
      <c r="E29" s="12">
        <v>26</v>
      </c>
      <c r="F29" s="8">
        <v>5.32</v>
      </c>
      <c r="G29" s="12">
        <v>40</v>
      </c>
      <c r="H29" s="8">
        <v>4.68</v>
      </c>
      <c r="I29" s="12">
        <v>0</v>
      </c>
    </row>
    <row r="30" spans="2:9" ht="15" customHeight="1" x14ac:dyDescent="0.2">
      <c r="B30" t="s">
        <v>100</v>
      </c>
      <c r="C30" s="12">
        <v>64</v>
      </c>
      <c r="D30" s="8">
        <v>4.7300000000000004</v>
      </c>
      <c r="E30" s="12">
        <v>2</v>
      </c>
      <c r="F30" s="8">
        <v>0.41</v>
      </c>
      <c r="G30" s="12">
        <v>62</v>
      </c>
      <c r="H30" s="8">
        <v>7.25</v>
      </c>
      <c r="I30" s="12">
        <v>0</v>
      </c>
    </row>
    <row r="31" spans="2:9" ht="15" customHeight="1" x14ac:dyDescent="0.2">
      <c r="B31" t="s">
        <v>98</v>
      </c>
      <c r="C31" s="12">
        <v>51</v>
      </c>
      <c r="D31" s="8">
        <v>3.77</v>
      </c>
      <c r="E31" s="12">
        <v>18</v>
      </c>
      <c r="F31" s="8">
        <v>3.68</v>
      </c>
      <c r="G31" s="12">
        <v>33</v>
      </c>
      <c r="H31" s="8">
        <v>3.86</v>
      </c>
      <c r="I31" s="12">
        <v>0</v>
      </c>
    </row>
    <row r="32" spans="2:9" ht="15" customHeight="1" x14ac:dyDescent="0.2">
      <c r="B32" t="s">
        <v>96</v>
      </c>
      <c r="C32" s="12">
        <v>44</v>
      </c>
      <c r="D32" s="8">
        <v>3.25</v>
      </c>
      <c r="E32" s="12">
        <v>31</v>
      </c>
      <c r="F32" s="8">
        <v>6.34</v>
      </c>
      <c r="G32" s="12">
        <v>13</v>
      </c>
      <c r="H32" s="8">
        <v>1.52</v>
      </c>
      <c r="I32" s="12">
        <v>0</v>
      </c>
    </row>
    <row r="33" spans="2:9" ht="15" customHeight="1" x14ac:dyDescent="0.2">
      <c r="B33" t="s">
        <v>105</v>
      </c>
      <c r="C33" s="12">
        <v>43</v>
      </c>
      <c r="D33" s="8">
        <v>3.18</v>
      </c>
      <c r="E33" s="12">
        <v>34</v>
      </c>
      <c r="F33" s="8">
        <v>6.95</v>
      </c>
      <c r="G33" s="12">
        <v>6</v>
      </c>
      <c r="H33" s="8">
        <v>0.7</v>
      </c>
      <c r="I33" s="12">
        <v>1</v>
      </c>
    </row>
    <row r="34" spans="2:9" ht="15" customHeight="1" x14ac:dyDescent="0.2">
      <c r="B34" t="s">
        <v>106</v>
      </c>
      <c r="C34" s="12">
        <v>38</v>
      </c>
      <c r="D34" s="8">
        <v>2.81</v>
      </c>
      <c r="E34" s="12">
        <v>37</v>
      </c>
      <c r="F34" s="8">
        <v>7.57</v>
      </c>
      <c r="G34" s="12">
        <v>1</v>
      </c>
      <c r="H34" s="8">
        <v>0.12</v>
      </c>
      <c r="I34" s="12">
        <v>0</v>
      </c>
    </row>
    <row r="35" spans="2:9" ht="15" customHeight="1" x14ac:dyDescent="0.2">
      <c r="B35" t="s">
        <v>95</v>
      </c>
      <c r="C35" s="12">
        <v>35</v>
      </c>
      <c r="D35" s="8">
        <v>2.58</v>
      </c>
      <c r="E35" s="12">
        <v>14</v>
      </c>
      <c r="F35" s="8">
        <v>2.86</v>
      </c>
      <c r="G35" s="12">
        <v>21</v>
      </c>
      <c r="H35" s="8">
        <v>2.46</v>
      </c>
      <c r="I35" s="12">
        <v>0</v>
      </c>
    </row>
    <row r="36" spans="2:9" ht="15" customHeight="1" x14ac:dyDescent="0.2">
      <c r="B36" t="s">
        <v>121</v>
      </c>
      <c r="C36" s="12">
        <v>31</v>
      </c>
      <c r="D36" s="8">
        <v>2.29</v>
      </c>
      <c r="E36" s="12">
        <v>1</v>
      </c>
      <c r="F36" s="8">
        <v>0.2</v>
      </c>
      <c r="G36" s="12">
        <v>30</v>
      </c>
      <c r="H36" s="8">
        <v>3.51</v>
      </c>
      <c r="I36" s="12">
        <v>0</v>
      </c>
    </row>
    <row r="37" spans="2:9" ht="15" customHeight="1" x14ac:dyDescent="0.2">
      <c r="B37" t="s">
        <v>119</v>
      </c>
      <c r="C37" s="12">
        <v>29</v>
      </c>
      <c r="D37" s="8">
        <v>2.14</v>
      </c>
      <c r="E37" s="12">
        <v>2</v>
      </c>
      <c r="F37" s="8">
        <v>0.41</v>
      </c>
      <c r="G37" s="12">
        <v>27</v>
      </c>
      <c r="H37" s="8">
        <v>3.16</v>
      </c>
      <c r="I37" s="12">
        <v>0</v>
      </c>
    </row>
    <row r="38" spans="2:9" ht="15" customHeight="1" x14ac:dyDescent="0.2">
      <c r="B38" t="s">
        <v>101</v>
      </c>
      <c r="C38" s="12">
        <v>29</v>
      </c>
      <c r="D38" s="8">
        <v>2.14</v>
      </c>
      <c r="E38" s="12">
        <v>17</v>
      </c>
      <c r="F38" s="8">
        <v>3.48</v>
      </c>
      <c r="G38" s="12">
        <v>12</v>
      </c>
      <c r="H38" s="8">
        <v>1.4</v>
      </c>
      <c r="I38" s="12">
        <v>0</v>
      </c>
    </row>
    <row r="39" spans="2:9" ht="15" customHeight="1" x14ac:dyDescent="0.2">
      <c r="B39" t="s">
        <v>102</v>
      </c>
      <c r="C39" s="12">
        <v>29</v>
      </c>
      <c r="D39" s="8">
        <v>2.14</v>
      </c>
      <c r="E39" s="12">
        <v>9</v>
      </c>
      <c r="F39" s="8">
        <v>1.84</v>
      </c>
      <c r="G39" s="12">
        <v>20</v>
      </c>
      <c r="H39" s="8">
        <v>2.34</v>
      </c>
      <c r="I39" s="12">
        <v>0</v>
      </c>
    </row>
    <row r="40" spans="2:9" ht="15" customHeight="1" x14ac:dyDescent="0.2">
      <c r="B40" t="s">
        <v>133</v>
      </c>
      <c r="C40" s="12">
        <v>24</v>
      </c>
      <c r="D40" s="8">
        <v>1.77</v>
      </c>
      <c r="E40" s="12">
        <v>14</v>
      </c>
      <c r="F40" s="8">
        <v>2.86</v>
      </c>
      <c r="G40" s="12">
        <v>10</v>
      </c>
      <c r="H40" s="8">
        <v>1.17</v>
      </c>
      <c r="I40" s="12">
        <v>0</v>
      </c>
    </row>
    <row r="41" spans="2:9" ht="15" customHeight="1" x14ac:dyDescent="0.2">
      <c r="B41" t="s">
        <v>99</v>
      </c>
      <c r="C41" s="12">
        <v>21</v>
      </c>
      <c r="D41" s="8">
        <v>1.55</v>
      </c>
      <c r="E41" s="12">
        <v>0</v>
      </c>
      <c r="F41" s="8">
        <v>0</v>
      </c>
      <c r="G41" s="12">
        <v>21</v>
      </c>
      <c r="H41" s="8">
        <v>2.46</v>
      </c>
      <c r="I41" s="12">
        <v>0</v>
      </c>
    </row>
    <row r="42" spans="2:9" ht="15" customHeight="1" x14ac:dyDescent="0.2">
      <c r="B42" t="s">
        <v>93</v>
      </c>
      <c r="C42" s="12">
        <v>17</v>
      </c>
      <c r="D42" s="8">
        <v>1.26</v>
      </c>
      <c r="E42" s="12">
        <v>2</v>
      </c>
      <c r="F42" s="8">
        <v>0.41</v>
      </c>
      <c r="G42" s="12">
        <v>15</v>
      </c>
      <c r="H42" s="8">
        <v>1.75</v>
      </c>
      <c r="I42" s="12">
        <v>0</v>
      </c>
    </row>
    <row r="43" spans="2:9" ht="15" customHeight="1" x14ac:dyDescent="0.2">
      <c r="B43" t="s">
        <v>134</v>
      </c>
      <c r="C43" s="12">
        <v>16</v>
      </c>
      <c r="D43" s="8">
        <v>1.18</v>
      </c>
      <c r="E43" s="12">
        <v>2</v>
      </c>
      <c r="F43" s="8">
        <v>0.41</v>
      </c>
      <c r="G43" s="12">
        <v>14</v>
      </c>
      <c r="H43" s="8">
        <v>1.64</v>
      </c>
      <c r="I43" s="12">
        <v>0</v>
      </c>
    </row>
    <row r="44" spans="2:9" ht="15" customHeight="1" x14ac:dyDescent="0.2">
      <c r="B44" t="s">
        <v>110</v>
      </c>
      <c r="C44" s="12">
        <v>16</v>
      </c>
      <c r="D44" s="8">
        <v>1.18</v>
      </c>
      <c r="E44" s="12">
        <v>2</v>
      </c>
      <c r="F44" s="8">
        <v>0.41</v>
      </c>
      <c r="G44" s="12">
        <v>14</v>
      </c>
      <c r="H44" s="8">
        <v>1.64</v>
      </c>
      <c r="I44" s="12">
        <v>0</v>
      </c>
    </row>
    <row r="45" spans="2:9" ht="15" customHeight="1" x14ac:dyDescent="0.2">
      <c r="B45" t="s">
        <v>115</v>
      </c>
      <c r="C45" s="12">
        <v>16</v>
      </c>
      <c r="D45" s="8">
        <v>1.18</v>
      </c>
      <c r="E45" s="12">
        <v>5</v>
      </c>
      <c r="F45" s="8">
        <v>1.02</v>
      </c>
      <c r="G45" s="12">
        <v>11</v>
      </c>
      <c r="H45" s="8">
        <v>1.29</v>
      </c>
      <c r="I45" s="12">
        <v>0</v>
      </c>
    </row>
    <row r="48" spans="2:9" ht="33" customHeight="1" x14ac:dyDescent="0.2">
      <c r="B48" t="s">
        <v>282</v>
      </c>
      <c r="C48" s="10" t="s">
        <v>81</v>
      </c>
      <c r="D48" s="10" t="s">
        <v>82</v>
      </c>
      <c r="E48" s="10" t="s">
        <v>83</v>
      </c>
      <c r="F48" s="10" t="s">
        <v>84</v>
      </c>
      <c r="G48" s="10" t="s">
        <v>85</v>
      </c>
      <c r="H48" s="10" t="s">
        <v>86</v>
      </c>
      <c r="I48" s="10" t="s">
        <v>87</v>
      </c>
    </row>
    <row r="49" spans="2:9" ht="15" customHeight="1" x14ac:dyDescent="0.2">
      <c r="B49" t="s">
        <v>201</v>
      </c>
      <c r="C49" s="12">
        <v>51</v>
      </c>
      <c r="D49" s="8">
        <v>3.77</v>
      </c>
      <c r="E49" s="12">
        <v>9</v>
      </c>
      <c r="F49" s="8">
        <v>1.84</v>
      </c>
      <c r="G49" s="12">
        <v>42</v>
      </c>
      <c r="H49" s="8">
        <v>4.91</v>
      </c>
      <c r="I49" s="12">
        <v>0</v>
      </c>
    </row>
    <row r="50" spans="2:9" ht="15" customHeight="1" x14ac:dyDescent="0.2">
      <c r="B50" t="s">
        <v>172</v>
      </c>
      <c r="C50" s="12">
        <v>46</v>
      </c>
      <c r="D50" s="8">
        <v>3.4</v>
      </c>
      <c r="E50" s="12">
        <v>38</v>
      </c>
      <c r="F50" s="8">
        <v>7.77</v>
      </c>
      <c r="G50" s="12">
        <v>8</v>
      </c>
      <c r="H50" s="8">
        <v>0.94</v>
      </c>
      <c r="I50" s="12">
        <v>0</v>
      </c>
    </row>
    <row r="51" spans="2:9" ht="15" customHeight="1" x14ac:dyDescent="0.2">
      <c r="B51" t="s">
        <v>221</v>
      </c>
      <c r="C51" s="12">
        <v>45</v>
      </c>
      <c r="D51" s="8">
        <v>3.32</v>
      </c>
      <c r="E51" s="12">
        <v>14</v>
      </c>
      <c r="F51" s="8">
        <v>2.86</v>
      </c>
      <c r="G51" s="12">
        <v>31</v>
      </c>
      <c r="H51" s="8">
        <v>3.63</v>
      </c>
      <c r="I51" s="12">
        <v>0</v>
      </c>
    </row>
    <row r="52" spans="2:9" ht="15" customHeight="1" x14ac:dyDescent="0.2">
      <c r="B52" t="s">
        <v>208</v>
      </c>
      <c r="C52" s="12">
        <v>34</v>
      </c>
      <c r="D52" s="8">
        <v>2.5099999999999998</v>
      </c>
      <c r="E52" s="12">
        <v>4</v>
      </c>
      <c r="F52" s="8">
        <v>0.82</v>
      </c>
      <c r="G52" s="12">
        <v>30</v>
      </c>
      <c r="H52" s="8">
        <v>3.51</v>
      </c>
      <c r="I52" s="12">
        <v>0</v>
      </c>
    </row>
    <row r="53" spans="2:9" ht="15" customHeight="1" x14ac:dyDescent="0.2">
      <c r="B53" t="s">
        <v>192</v>
      </c>
      <c r="C53" s="12">
        <v>34</v>
      </c>
      <c r="D53" s="8">
        <v>2.5099999999999998</v>
      </c>
      <c r="E53" s="12">
        <v>9</v>
      </c>
      <c r="F53" s="8">
        <v>1.84</v>
      </c>
      <c r="G53" s="12">
        <v>25</v>
      </c>
      <c r="H53" s="8">
        <v>2.92</v>
      </c>
      <c r="I53" s="12">
        <v>0</v>
      </c>
    </row>
    <row r="54" spans="2:9" ht="15" customHeight="1" x14ac:dyDescent="0.2">
      <c r="B54" t="s">
        <v>200</v>
      </c>
      <c r="C54" s="12">
        <v>33</v>
      </c>
      <c r="D54" s="8">
        <v>2.44</v>
      </c>
      <c r="E54" s="12">
        <v>5</v>
      </c>
      <c r="F54" s="8">
        <v>1.02</v>
      </c>
      <c r="G54" s="12">
        <v>28</v>
      </c>
      <c r="H54" s="8">
        <v>3.27</v>
      </c>
      <c r="I54" s="12">
        <v>0</v>
      </c>
    </row>
    <row r="55" spans="2:9" ht="15" customHeight="1" x14ac:dyDescent="0.2">
      <c r="B55" t="s">
        <v>171</v>
      </c>
      <c r="C55" s="12">
        <v>31</v>
      </c>
      <c r="D55" s="8">
        <v>2.29</v>
      </c>
      <c r="E55" s="12">
        <v>28</v>
      </c>
      <c r="F55" s="8">
        <v>5.73</v>
      </c>
      <c r="G55" s="12">
        <v>3</v>
      </c>
      <c r="H55" s="8">
        <v>0.35</v>
      </c>
      <c r="I55" s="12">
        <v>0</v>
      </c>
    </row>
    <row r="56" spans="2:9" ht="15" customHeight="1" x14ac:dyDescent="0.2">
      <c r="B56" t="s">
        <v>162</v>
      </c>
      <c r="C56" s="12">
        <v>30</v>
      </c>
      <c r="D56" s="8">
        <v>2.2200000000000002</v>
      </c>
      <c r="E56" s="12">
        <v>2</v>
      </c>
      <c r="F56" s="8">
        <v>0.41</v>
      </c>
      <c r="G56" s="12">
        <v>28</v>
      </c>
      <c r="H56" s="8">
        <v>3.27</v>
      </c>
      <c r="I56" s="12">
        <v>0</v>
      </c>
    </row>
    <row r="57" spans="2:9" ht="15" customHeight="1" x14ac:dyDescent="0.2">
      <c r="B57" t="s">
        <v>169</v>
      </c>
      <c r="C57" s="12">
        <v>28</v>
      </c>
      <c r="D57" s="8">
        <v>2.0699999999999998</v>
      </c>
      <c r="E57" s="12">
        <v>27</v>
      </c>
      <c r="F57" s="8">
        <v>5.52</v>
      </c>
      <c r="G57" s="12">
        <v>1</v>
      </c>
      <c r="H57" s="8">
        <v>0.12</v>
      </c>
      <c r="I57" s="12">
        <v>0</v>
      </c>
    </row>
    <row r="58" spans="2:9" ht="15" customHeight="1" x14ac:dyDescent="0.2">
      <c r="B58" t="s">
        <v>175</v>
      </c>
      <c r="C58" s="12">
        <v>28</v>
      </c>
      <c r="D58" s="8">
        <v>2.0699999999999998</v>
      </c>
      <c r="E58" s="12">
        <v>27</v>
      </c>
      <c r="F58" s="8">
        <v>5.52</v>
      </c>
      <c r="G58" s="12">
        <v>1</v>
      </c>
      <c r="H58" s="8">
        <v>0.12</v>
      </c>
      <c r="I58" s="12">
        <v>0</v>
      </c>
    </row>
    <row r="59" spans="2:9" ht="15" customHeight="1" x14ac:dyDescent="0.2">
      <c r="B59" t="s">
        <v>168</v>
      </c>
      <c r="C59" s="12">
        <v>27</v>
      </c>
      <c r="D59" s="8">
        <v>1.99</v>
      </c>
      <c r="E59" s="12">
        <v>25</v>
      </c>
      <c r="F59" s="8">
        <v>5.1100000000000003</v>
      </c>
      <c r="G59" s="12">
        <v>2</v>
      </c>
      <c r="H59" s="8">
        <v>0.23</v>
      </c>
      <c r="I59" s="12">
        <v>0</v>
      </c>
    </row>
    <row r="60" spans="2:9" ht="15" customHeight="1" x14ac:dyDescent="0.2">
      <c r="B60" t="s">
        <v>173</v>
      </c>
      <c r="C60" s="12">
        <v>27</v>
      </c>
      <c r="D60" s="8">
        <v>1.99</v>
      </c>
      <c r="E60" s="12">
        <v>23</v>
      </c>
      <c r="F60" s="8">
        <v>4.7</v>
      </c>
      <c r="G60" s="12">
        <v>3</v>
      </c>
      <c r="H60" s="8">
        <v>0.35</v>
      </c>
      <c r="I60" s="12">
        <v>1</v>
      </c>
    </row>
    <row r="61" spans="2:9" ht="15" customHeight="1" x14ac:dyDescent="0.2">
      <c r="B61" t="s">
        <v>206</v>
      </c>
      <c r="C61" s="12">
        <v>25</v>
      </c>
      <c r="D61" s="8">
        <v>1.85</v>
      </c>
      <c r="E61" s="12">
        <v>0</v>
      </c>
      <c r="F61" s="8">
        <v>0</v>
      </c>
      <c r="G61" s="12">
        <v>25</v>
      </c>
      <c r="H61" s="8">
        <v>2.92</v>
      </c>
      <c r="I61" s="12">
        <v>0</v>
      </c>
    </row>
    <row r="62" spans="2:9" ht="15" customHeight="1" x14ac:dyDescent="0.2">
      <c r="B62" t="s">
        <v>220</v>
      </c>
      <c r="C62" s="12">
        <v>24</v>
      </c>
      <c r="D62" s="8">
        <v>1.77</v>
      </c>
      <c r="E62" s="12">
        <v>2</v>
      </c>
      <c r="F62" s="8">
        <v>0.41</v>
      </c>
      <c r="G62" s="12">
        <v>22</v>
      </c>
      <c r="H62" s="8">
        <v>2.57</v>
      </c>
      <c r="I62" s="12">
        <v>0</v>
      </c>
    </row>
    <row r="63" spans="2:9" ht="15" customHeight="1" x14ac:dyDescent="0.2">
      <c r="B63" t="s">
        <v>224</v>
      </c>
      <c r="C63" s="12">
        <v>24</v>
      </c>
      <c r="D63" s="8">
        <v>1.77</v>
      </c>
      <c r="E63" s="12">
        <v>14</v>
      </c>
      <c r="F63" s="8">
        <v>2.86</v>
      </c>
      <c r="G63" s="12">
        <v>10</v>
      </c>
      <c r="H63" s="8">
        <v>1.17</v>
      </c>
      <c r="I63" s="12">
        <v>0</v>
      </c>
    </row>
    <row r="64" spans="2:9" ht="15" customHeight="1" x14ac:dyDescent="0.2">
      <c r="B64" t="s">
        <v>223</v>
      </c>
      <c r="C64" s="12">
        <v>21</v>
      </c>
      <c r="D64" s="8">
        <v>1.55</v>
      </c>
      <c r="E64" s="12">
        <v>10</v>
      </c>
      <c r="F64" s="8">
        <v>2.04</v>
      </c>
      <c r="G64" s="12">
        <v>11</v>
      </c>
      <c r="H64" s="8">
        <v>1.29</v>
      </c>
      <c r="I64" s="12">
        <v>0</v>
      </c>
    </row>
    <row r="65" spans="2:9" ht="15" customHeight="1" x14ac:dyDescent="0.2">
      <c r="B65" t="s">
        <v>227</v>
      </c>
      <c r="C65" s="12">
        <v>21</v>
      </c>
      <c r="D65" s="8">
        <v>1.55</v>
      </c>
      <c r="E65" s="12">
        <v>7</v>
      </c>
      <c r="F65" s="8">
        <v>1.43</v>
      </c>
      <c r="G65" s="12">
        <v>14</v>
      </c>
      <c r="H65" s="8">
        <v>1.64</v>
      </c>
      <c r="I65" s="12">
        <v>0</v>
      </c>
    </row>
    <row r="66" spans="2:9" ht="15" customHeight="1" x14ac:dyDescent="0.2">
      <c r="B66" t="s">
        <v>195</v>
      </c>
      <c r="C66" s="12">
        <v>21</v>
      </c>
      <c r="D66" s="8">
        <v>1.55</v>
      </c>
      <c r="E66" s="12">
        <v>6</v>
      </c>
      <c r="F66" s="8">
        <v>1.23</v>
      </c>
      <c r="G66" s="12">
        <v>15</v>
      </c>
      <c r="H66" s="8">
        <v>1.75</v>
      </c>
      <c r="I66" s="12">
        <v>0</v>
      </c>
    </row>
    <row r="67" spans="2:9" ht="15" customHeight="1" x14ac:dyDescent="0.2">
      <c r="B67" t="s">
        <v>226</v>
      </c>
      <c r="C67" s="12">
        <v>20</v>
      </c>
      <c r="D67" s="8">
        <v>1.48</v>
      </c>
      <c r="E67" s="12">
        <v>5</v>
      </c>
      <c r="F67" s="8">
        <v>1.02</v>
      </c>
      <c r="G67" s="12">
        <v>15</v>
      </c>
      <c r="H67" s="8">
        <v>1.75</v>
      </c>
      <c r="I67" s="12">
        <v>0</v>
      </c>
    </row>
    <row r="68" spans="2:9" ht="15" customHeight="1" x14ac:dyDescent="0.2">
      <c r="B68" t="s">
        <v>158</v>
      </c>
      <c r="C68" s="12">
        <v>20</v>
      </c>
      <c r="D68" s="8">
        <v>1.48</v>
      </c>
      <c r="E68" s="12">
        <v>13</v>
      </c>
      <c r="F68" s="8">
        <v>2.66</v>
      </c>
      <c r="G68" s="12">
        <v>7</v>
      </c>
      <c r="H68" s="8">
        <v>0.82</v>
      </c>
      <c r="I68" s="12">
        <v>0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E705-9CF1-4A54-9FD3-58B47E1BA27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2">
      <c r="B6" t="s">
        <v>66</v>
      </c>
      <c r="C6" s="12">
        <v>165</v>
      </c>
      <c r="D6" s="8">
        <v>9.6300000000000008</v>
      </c>
      <c r="E6" s="12">
        <v>12</v>
      </c>
      <c r="F6" s="8">
        <v>2.48</v>
      </c>
      <c r="G6" s="12">
        <v>153</v>
      </c>
      <c r="H6" s="8">
        <v>12.56</v>
      </c>
      <c r="I6" s="12">
        <v>0</v>
      </c>
    </row>
    <row r="7" spans="2:9" ht="15" customHeight="1" x14ac:dyDescent="0.2">
      <c r="B7" t="s">
        <v>67</v>
      </c>
      <c r="C7" s="12">
        <v>78</v>
      </c>
      <c r="D7" s="8">
        <v>4.55</v>
      </c>
      <c r="E7" s="12">
        <v>11</v>
      </c>
      <c r="F7" s="8">
        <v>2.27</v>
      </c>
      <c r="G7" s="12">
        <v>67</v>
      </c>
      <c r="H7" s="8">
        <v>5.5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0.18</v>
      </c>
      <c r="E8" s="12">
        <v>0</v>
      </c>
      <c r="F8" s="8">
        <v>0</v>
      </c>
      <c r="G8" s="12">
        <v>3</v>
      </c>
      <c r="H8" s="8">
        <v>0.25</v>
      </c>
      <c r="I8" s="12">
        <v>0</v>
      </c>
    </row>
    <row r="9" spans="2:9" ht="15" customHeight="1" x14ac:dyDescent="0.2">
      <c r="B9" t="s">
        <v>69</v>
      </c>
      <c r="C9" s="12">
        <v>85</v>
      </c>
      <c r="D9" s="8">
        <v>4.96</v>
      </c>
      <c r="E9" s="12">
        <v>4</v>
      </c>
      <c r="F9" s="8">
        <v>0.83</v>
      </c>
      <c r="G9" s="12">
        <v>81</v>
      </c>
      <c r="H9" s="8">
        <v>6.65</v>
      </c>
      <c r="I9" s="12">
        <v>0</v>
      </c>
    </row>
    <row r="10" spans="2:9" ht="15" customHeight="1" x14ac:dyDescent="0.2">
      <c r="B10" t="s">
        <v>70</v>
      </c>
      <c r="C10" s="12">
        <v>10</v>
      </c>
      <c r="D10" s="8">
        <v>0.57999999999999996</v>
      </c>
      <c r="E10" s="12">
        <v>1</v>
      </c>
      <c r="F10" s="8">
        <v>0.21</v>
      </c>
      <c r="G10" s="12">
        <v>9</v>
      </c>
      <c r="H10" s="8">
        <v>0.74</v>
      </c>
      <c r="I10" s="12">
        <v>0</v>
      </c>
    </row>
    <row r="11" spans="2:9" ht="15" customHeight="1" x14ac:dyDescent="0.2">
      <c r="B11" t="s">
        <v>71</v>
      </c>
      <c r="C11" s="12">
        <v>342</v>
      </c>
      <c r="D11" s="8">
        <v>19.96</v>
      </c>
      <c r="E11" s="12">
        <v>63</v>
      </c>
      <c r="F11" s="8">
        <v>13.02</v>
      </c>
      <c r="G11" s="12">
        <v>279</v>
      </c>
      <c r="H11" s="8">
        <v>22.91</v>
      </c>
      <c r="I11" s="12">
        <v>0</v>
      </c>
    </row>
    <row r="12" spans="2:9" ht="15" customHeight="1" x14ac:dyDescent="0.2">
      <c r="B12" t="s">
        <v>72</v>
      </c>
      <c r="C12" s="12">
        <v>23</v>
      </c>
      <c r="D12" s="8">
        <v>1.34</v>
      </c>
      <c r="E12" s="12">
        <v>0</v>
      </c>
      <c r="F12" s="8">
        <v>0</v>
      </c>
      <c r="G12" s="12">
        <v>23</v>
      </c>
      <c r="H12" s="8">
        <v>1.89</v>
      </c>
      <c r="I12" s="12">
        <v>0</v>
      </c>
    </row>
    <row r="13" spans="2:9" ht="15" customHeight="1" x14ac:dyDescent="0.2">
      <c r="B13" t="s">
        <v>73</v>
      </c>
      <c r="C13" s="12">
        <v>206</v>
      </c>
      <c r="D13" s="8">
        <v>12.03</v>
      </c>
      <c r="E13" s="12">
        <v>20</v>
      </c>
      <c r="F13" s="8">
        <v>4.13</v>
      </c>
      <c r="G13" s="12">
        <v>186</v>
      </c>
      <c r="H13" s="8">
        <v>15.27</v>
      </c>
      <c r="I13" s="12">
        <v>0</v>
      </c>
    </row>
    <row r="14" spans="2:9" ht="15" customHeight="1" x14ac:dyDescent="0.2">
      <c r="B14" t="s">
        <v>74</v>
      </c>
      <c r="C14" s="12">
        <v>187</v>
      </c>
      <c r="D14" s="8">
        <v>10.92</v>
      </c>
      <c r="E14" s="12">
        <v>68</v>
      </c>
      <c r="F14" s="8">
        <v>14.05</v>
      </c>
      <c r="G14" s="12">
        <v>118</v>
      </c>
      <c r="H14" s="8">
        <v>9.69</v>
      </c>
      <c r="I14" s="12">
        <v>0</v>
      </c>
    </row>
    <row r="15" spans="2:9" ht="15" customHeight="1" x14ac:dyDescent="0.2">
      <c r="B15" t="s">
        <v>75</v>
      </c>
      <c r="C15" s="12">
        <v>128</v>
      </c>
      <c r="D15" s="8">
        <v>7.47</v>
      </c>
      <c r="E15" s="12">
        <v>81</v>
      </c>
      <c r="F15" s="8">
        <v>16.739999999999998</v>
      </c>
      <c r="G15" s="12">
        <v>47</v>
      </c>
      <c r="H15" s="8">
        <v>3.86</v>
      </c>
      <c r="I15" s="12">
        <v>0</v>
      </c>
    </row>
    <row r="16" spans="2:9" ht="15" customHeight="1" x14ac:dyDescent="0.2">
      <c r="B16" t="s">
        <v>76</v>
      </c>
      <c r="C16" s="12">
        <v>224</v>
      </c>
      <c r="D16" s="8">
        <v>13.08</v>
      </c>
      <c r="E16" s="12">
        <v>121</v>
      </c>
      <c r="F16" s="8">
        <v>25</v>
      </c>
      <c r="G16" s="12">
        <v>103</v>
      </c>
      <c r="H16" s="8">
        <v>8.4600000000000009</v>
      </c>
      <c r="I16" s="12">
        <v>0</v>
      </c>
    </row>
    <row r="17" spans="2:9" ht="15" customHeight="1" x14ac:dyDescent="0.2">
      <c r="B17" t="s">
        <v>77</v>
      </c>
      <c r="C17" s="12">
        <v>68</v>
      </c>
      <c r="D17" s="8">
        <v>3.97</v>
      </c>
      <c r="E17" s="12">
        <v>35</v>
      </c>
      <c r="F17" s="8">
        <v>7.23</v>
      </c>
      <c r="G17" s="12">
        <v>29</v>
      </c>
      <c r="H17" s="8">
        <v>2.38</v>
      </c>
      <c r="I17" s="12">
        <v>0</v>
      </c>
    </row>
    <row r="18" spans="2:9" ht="15" customHeight="1" x14ac:dyDescent="0.2">
      <c r="B18" t="s">
        <v>78</v>
      </c>
      <c r="C18" s="12">
        <v>111</v>
      </c>
      <c r="D18" s="8">
        <v>6.48</v>
      </c>
      <c r="E18" s="12">
        <v>58</v>
      </c>
      <c r="F18" s="8">
        <v>11.98</v>
      </c>
      <c r="G18" s="12">
        <v>49</v>
      </c>
      <c r="H18" s="8">
        <v>4.0199999999999996</v>
      </c>
      <c r="I18" s="12">
        <v>0</v>
      </c>
    </row>
    <row r="19" spans="2:9" ht="15" customHeight="1" x14ac:dyDescent="0.2">
      <c r="B19" t="s">
        <v>79</v>
      </c>
      <c r="C19" s="12">
        <v>82</v>
      </c>
      <c r="D19" s="8">
        <v>4.79</v>
      </c>
      <c r="E19" s="12">
        <v>10</v>
      </c>
      <c r="F19" s="8">
        <v>2.0699999999999998</v>
      </c>
      <c r="G19" s="12">
        <v>70</v>
      </c>
      <c r="H19" s="8">
        <v>5.75</v>
      </c>
      <c r="I19" s="12">
        <v>2</v>
      </c>
    </row>
    <row r="20" spans="2:9" ht="15" customHeight="1" x14ac:dyDescent="0.2">
      <c r="B20" s="9" t="s">
        <v>280</v>
      </c>
      <c r="C20" s="12">
        <f>SUM(LTBL_13224[総数／事業所数])</f>
        <v>1713</v>
      </c>
      <c r="E20" s="12">
        <f>SUBTOTAL(109,LTBL_13224[個人／事業所数])</f>
        <v>484</v>
      </c>
      <c r="G20" s="12">
        <f>SUBTOTAL(109,LTBL_13224[法人／事業所数])</f>
        <v>1218</v>
      </c>
      <c r="I20" s="12">
        <f>SUBTOTAL(109,LTBL_13224[法人以外の団体／事業所数])</f>
        <v>2</v>
      </c>
    </row>
    <row r="21" spans="2:9" ht="15" customHeight="1" x14ac:dyDescent="0.2">
      <c r="E21" s="11">
        <f>LTBL_13224[[#Totals],[個人／事業所数]]/LTBL_13224[[#Totals],[総数／事業所数]]</f>
        <v>0.28254524226503208</v>
      </c>
      <c r="G21" s="11">
        <f>LTBL_13224[[#Totals],[法人／事業所数]]/LTBL_13224[[#Totals],[総数／事業所数]]</f>
        <v>0.71103327495621715</v>
      </c>
      <c r="I21" s="11">
        <f>LTBL_13224[[#Totals],[法人以外の団体／事業所数]]/LTBL_13224[[#Totals],[総数／事業所数]]</f>
        <v>1.1675423234092236E-3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104</v>
      </c>
      <c r="C24" s="12">
        <v>180</v>
      </c>
      <c r="D24" s="8">
        <v>10.51</v>
      </c>
      <c r="E24" s="12">
        <v>114</v>
      </c>
      <c r="F24" s="8">
        <v>23.55</v>
      </c>
      <c r="G24" s="12">
        <v>66</v>
      </c>
      <c r="H24" s="8">
        <v>5.42</v>
      </c>
      <c r="I24" s="12">
        <v>0</v>
      </c>
    </row>
    <row r="25" spans="2:9" ht="15" customHeight="1" x14ac:dyDescent="0.2">
      <c r="B25" t="s">
        <v>100</v>
      </c>
      <c r="C25" s="12">
        <v>168</v>
      </c>
      <c r="D25" s="8">
        <v>9.81</v>
      </c>
      <c r="E25" s="12">
        <v>20</v>
      </c>
      <c r="F25" s="8">
        <v>4.13</v>
      </c>
      <c r="G25" s="12">
        <v>148</v>
      </c>
      <c r="H25" s="8">
        <v>12.15</v>
      </c>
      <c r="I25" s="12">
        <v>0</v>
      </c>
    </row>
    <row r="26" spans="2:9" ht="15" customHeight="1" x14ac:dyDescent="0.2">
      <c r="B26" t="s">
        <v>103</v>
      </c>
      <c r="C26" s="12">
        <v>108</v>
      </c>
      <c r="D26" s="8">
        <v>6.3</v>
      </c>
      <c r="E26" s="12">
        <v>79</v>
      </c>
      <c r="F26" s="8">
        <v>16.32</v>
      </c>
      <c r="G26" s="12">
        <v>29</v>
      </c>
      <c r="H26" s="8">
        <v>2.38</v>
      </c>
      <c r="I26" s="12">
        <v>0</v>
      </c>
    </row>
    <row r="27" spans="2:9" ht="15" customHeight="1" x14ac:dyDescent="0.2">
      <c r="B27" t="s">
        <v>101</v>
      </c>
      <c r="C27" s="12">
        <v>104</v>
      </c>
      <c r="D27" s="8">
        <v>6.07</v>
      </c>
      <c r="E27" s="12">
        <v>53</v>
      </c>
      <c r="F27" s="8">
        <v>10.95</v>
      </c>
      <c r="G27" s="12">
        <v>51</v>
      </c>
      <c r="H27" s="8">
        <v>4.1900000000000004</v>
      </c>
      <c r="I27" s="12">
        <v>0</v>
      </c>
    </row>
    <row r="28" spans="2:9" ht="15" customHeight="1" x14ac:dyDescent="0.2">
      <c r="B28" t="s">
        <v>98</v>
      </c>
      <c r="C28" s="12">
        <v>93</v>
      </c>
      <c r="D28" s="8">
        <v>5.43</v>
      </c>
      <c r="E28" s="12">
        <v>21</v>
      </c>
      <c r="F28" s="8">
        <v>4.34</v>
      </c>
      <c r="G28" s="12">
        <v>72</v>
      </c>
      <c r="H28" s="8">
        <v>5.91</v>
      </c>
      <c r="I28" s="12">
        <v>0</v>
      </c>
    </row>
    <row r="29" spans="2:9" ht="15" customHeight="1" x14ac:dyDescent="0.2">
      <c r="B29" t="s">
        <v>106</v>
      </c>
      <c r="C29" s="12">
        <v>71</v>
      </c>
      <c r="D29" s="8">
        <v>4.1399999999999997</v>
      </c>
      <c r="E29" s="12">
        <v>58</v>
      </c>
      <c r="F29" s="8">
        <v>11.98</v>
      </c>
      <c r="G29" s="12">
        <v>13</v>
      </c>
      <c r="H29" s="8">
        <v>1.07</v>
      </c>
      <c r="I29" s="12">
        <v>0</v>
      </c>
    </row>
    <row r="30" spans="2:9" ht="15" customHeight="1" x14ac:dyDescent="0.2">
      <c r="B30" t="s">
        <v>102</v>
      </c>
      <c r="C30" s="12">
        <v>69</v>
      </c>
      <c r="D30" s="8">
        <v>4.03</v>
      </c>
      <c r="E30" s="12">
        <v>15</v>
      </c>
      <c r="F30" s="8">
        <v>3.1</v>
      </c>
      <c r="G30" s="12">
        <v>53</v>
      </c>
      <c r="H30" s="8">
        <v>4.3499999999999996</v>
      </c>
      <c r="I30" s="12">
        <v>0</v>
      </c>
    </row>
    <row r="31" spans="2:9" ht="15" customHeight="1" x14ac:dyDescent="0.2">
      <c r="B31" t="s">
        <v>105</v>
      </c>
      <c r="C31" s="12">
        <v>68</v>
      </c>
      <c r="D31" s="8">
        <v>3.97</v>
      </c>
      <c r="E31" s="12">
        <v>35</v>
      </c>
      <c r="F31" s="8">
        <v>7.23</v>
      </c>
      <c r="G31" s="12">
        <v>29</v>
      </c>
      <c r="H31" s="8">
        <v>2.38</v>
      </c>
      <c r="I31" s="12">
        <v>0</v>
      </c>
    </row>
    <row r="32" spans="2:9" ht="15" customHeight="1" x14ac:dyDescent="0.2">
      <c r="B32" t="s">
        <v>88</v>
      </c>
      <c r="C32" s="12">
        <v>64</v>
      </c>
      <c r="D32" s="8">
        <v>3.74</v>
      </c>
      <c r="E32" s="12">
        <v>5</v>
      </c>
      <c r="F32" s="8">
        <v>1.03</v>
      </c>
      <c r="G32" s="12">
        <v>59</v>
      </c>
      <c r="H32" s="8">
        <v>4.84</v>
      </c>
      <c r="I32" s="12">
        <v>0</v>
      </c>
    </row>
    <row r="33" spans="2:9" ht="15" customHeight="1" x14ac:dyDescent="0.2">
      <c r="B33" t="s">
        <v>89</v>
      </c>
      <c r="C33" s="12">
        <v>54</v>
      </c>
      <c r="D33" s="8">
        <v>3.15</v>
      </c>
      <c r="E33" s="12">
        <v>4</v>
      </c>
      <c r="F33" s="8">
        <v>0.83</v>
      </c>
      <c r="G33" s="12">
        <v>50</v>
      </c>
      <c r="H33" s="8">
        <v>4.1100000000000003</v>
      </c>
      <c r="I33" s="12">
        <v>0</v>
      </c>
    </row>
    <row r="34" spans="2:9" ht="15" customHeight="1" x14ac:dyDescent="0.2">
      <c r="B34" t="s">
        <v>95</v>
      </c>
      <c r="C34" s="12">
        <v>53</v>
      </c>
      <c r="D34" s="8">
        <v>3.09</v>
      </c>
      <c r="E34" s="12">
        <v>8</v>
      </c>
      <c r="F34" s="8">
        <v>1.65</v>
      </c>
      <c r="G34" s="12">
        <v>45</v>
      </c>
      <c r="H34" s="8">
        <v>3.69</v>
      </c>
      <c r="I34" s="12">
        <v>0</v>
      </c>
    </row>
    <row r="35" spans="2:9" ht="15" customHeight="1" x14ac:dyDescent="0.2">
      <c r="B35" t="s">
        <v>91</v>
      </c>
      <c r="C35" s="12">
        <v>52</v>
      </c>
      <c r="D35" s="8">
        <v>3.04</v>
      </c>
      <c r="E35" s="12">
        <v>2</v>
      </c>
      <c r="F35" s="8">
        <v>0.41</v>
      </c>
      <c r="G35" s="12">
        <v>50</v>
      </c>
      <c r="H35" s="8">
        <v>4.1100000000000003</v>
      </c>
      <c r="I35" s="12">
        <v>0</v>
      </c>
    </row>
    <row r="36" spans="2:9" ht="15" customHeight="1" x14ac:dyDescent="0.2">
      <c r="B36" t="s">
        <v>96</v>
      </c>
      <c r="C36" s="12">
        <v>48</v>
      </c>
      <c r="D36" s="8">
        <v>2.8</v>
      </c>
      <c r="E36" s="12">
        <v>24</v>
      </c>
      <c r="F36" s="8">
        <v>4.96</v>
      </c>
      <c r="G36" s="12">
        <v>24</v>
      </c>
      <c r="H36" s="8">
        <v>1.97</v>
      </c>
      <c r="I36" s="12">
        <v>0</v>
      </c>
    </row>
    <row r="37" spans="2:9" ht="15" customHeight="1" x14ac:dyDescent="0.2">
      <c r="B37" t="s">
        <v>107</v>
      </c>
      <c r="C37" s="12">
        <v>48</v>
      </c>
      <c r="D37" s="8">
        <v>2.8</v>
      </c>
      <c r="E37" s="12">
        <v>2</v>
      </c>
      <c r="F37" s="8">
        <v>0.41</v>
      </c>
      <c r="G37" s="12">
        <v>44</v>
      </c>
      <c r="H37" s="8">
        <v>3.61</v>
      </c>
      <c r="I37" s="12">
        <v>2</v>
      </c>
    </row>
    <row r="38" spans="2:9" ht="15" customHeight="1" x14ac:dyDescent="0.2">
      <c r="B38" t="s">
        <v>90</v>
      </c>
      <c r="C38" s="12">
        <v>47</v>
      </c>
      <c r="D38" s="8">
        <v>2.74</v>
      </c>
      <c r="E38" s="12">
        <v>3</v>
      </c>
      <c r="F38" s="8">
        <v>0.62</v>
      </c>
      <c r="G38" s="12">
        <v>44</v>
      </c>
      <c r="H38" s="8">
        <v>3.61</v>
      </c>
      <c r="I38" s="12">
        <v>0</v>
      </c>
    </row>
    <row r="39" spans="2:9" ht="15" customHeight="1" x14ac:dyDescent="0.2">
      <c r="B39" t="s">
        <v>132</v>
      </c>
      <c r="C39" s="12">
        <v>40</v>
      </c>
      <c r="D39" s="8">
        <v>2.34</v>
      </c>
      <c r="E39" s="12">
        <v>0</v>
      </c>
      <c r="F39" s="8">
        <v>0</v>
      </c>
      <c r="G39" s="12">
        <v>36</v>
      </c>
      <c r="H39" s="8">
        <v>2.96</v>
      </c>
      <c r="I39" s="12">
        <v>0</v>
      </c>
    </row>
    <row r="40" spans="2:9" ht="15" customHeight="1" x14ac:dyDescent="0.2">
      <c r="B40" t="s">
        <v>93</v>
      </c>
      <c r="C40" s="12">
        <v>33</v>
      </c>
      <c r="D40" s="8">
        <v>1.93</v>
      </c>
      <c r="E40" s="12">
        <v>1</v>
      </c>
      <c r="F40" s="8">
        <v>0.21</v>
      </c>
      <c r="G40" s="12">
        <v>32</v>
      </c>
      <c r="H40" s="8">
        <v>2.63</v>
      </c>
      <c r="I40" s="12">
        <v>0</v>
      </c>
    </row>
    <row r="41" spans="2:9" ht="15" customHeight="1" x14ac:dyDescent="0.2">
      <c r="B41" t="s">
        <v>97</v>
      </c>
      <c r="C41" s="12">
        <v>29</v>
      </c>
      <c r="D41" s="8">
        <v>1.69</v>
      </c>
      <c r="E41" s="12">
        <v>5</v>
      </c>
      <c r="F41" s="8">
        <v>1.03</v>
      </c>
      <c r="G41" s="12">
        <v>24</v>
      </c>
      <c r="H41" s="8">
        <v>1.97</v>
      </c>
      <c r="I41" s="12">
        <v>0</v>
      </c>
    </row>
    <row r="42" spans="2:9" ht="15" customHeight="1" x14ac:dyDescent="0.2">
      <c r="B42" t="s">
        <v>115</v>
      </c>
      <c r="C42" s="12">
        <v>29</v>
      </c>
      <c r="D42" s="8">
        <v>1.69</v>
      </c>
      <c r="E42" s="12">
        <v>6</v>
      </c>
      <c r="F42" s="8">
        <v>1.24</v>
      </c>
      <c r="G42" s="12">
        <v>23</v>
      </c>
      <c r="H42" s="8">
        <v>1.89</v>
      </c>
      <c r="I42" s="12">
        <v>0</v>
      </c>
    </row>
    <row r="43" spans="2:9" ht="15" customHeight="1" x14ac:dyDescent="0.2">
      <c r="B43" t="s">
        <v>99</v>
      </c>
      <c r="C43" s="12">
        <v>26</v>
      </c>
      <c r="D43" s="8">
        <v>1.52</v>
      </c>
      <c r="E43" s="12">
        <v>0</v>
      </c>
      <c r="F43" s="8">
        <v>0</v>
      </c>
      <c r="G43" s="12">
        <v>26</v>
      </c>
      <c r="H43" s="8">
        <v>2.13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86</v>
      </c>
      <c r="D47" s="8">
        <v>5.0199999999999996</v>
      </c>
      <c r="E47" s="12">
        <v>59</v>
      </c>
      <c r="F47" s="8">
        <v>12.19</v>
      </c>
      <c r="G47" s="12">
        <v>27</v>
      </c>
      <c r="H47" s="8">
        <v>2.2200000000000002</v>
      </c>
      <c r="I47" s="12">
        <v>0</v>
      </c>
    </row>
    <row r="48" spans="2:9" ht="15" customHeight="1" x14ac:dyDescent="0.2">
      <c r="B48" t="s">
        <v>162</v>
      </c>
      <c r="C48" s="12">
        <v>85</v>
      </c>
      <c r="D48" s="8">
        <v>4.96</v>
      </c>
      <c r="E48" s="12">
        <v>13</v>
      </c>
      <c r="F48" s="8">
        <v>2.69</v>
      </c>
      <c r="G48" s="12">
        <v>72</v>
      </c>
      <c r="H48" s="8">
        <v>5.91</v>
      </c>
      <c r="I48" s="12">
        <v>0</v>
      </c>
    </row>
    <row r="49" spans="2:9" ht="15" customHeight="1" x14ac:dyDescent="0.2">
      <c r="B49" t="s">
        <v>175</v>
      </c>
      <c r="C49" s="12">
        <v>53</v>
      </c>
      <c r="D49" s="8">
        <v>3.09</v>
      </c>
      <c r="E49" s="12">
        <v>43</v>
      </c>
      <c r="F49" s="8">
        <v>8.8800000000000008</v>
      </c>
      <c r="G49" s="12">
        <v>10</v>
      </c>
      <c r="H49" s="8">
        <v>0.82</v>
      </c>
      <c r="I49" s="12">
        <v>0</v>
      </c>
    </row>
    <row r="50" spans="2:9" ht="15" customHeight="1" x14ac:dyDescent="0.2">
      <c r="B50" t="s">
        <v>167</v>
      </c>
      <c r="C50" s="12">
        <v>52</v>
      </c>
      <c r="D50" s="8">
        <v>3.04</v>
      </c>
      <c r="E50" s="12">
        <v>9</v>
      </c>
      <c r="F50" s="8">
        <v>1.86</v>
      </c>
      <c r="G50" s="12">
        <v>42</v>
      </c>
      <c r="H50" s="8">
        <v>3.45</v>
      </c>
      <c r="I50" s="12">
        <v>0</v>
      </c>
    </row>
    <row r="51" spans="2:9" ht="15" customHeight="1" x14ac:dyDescent="0.2">
      <c r="B51" t="s">
        <v>163</v>
      </c>
      <c r="C51" s="12">
        <v>45</v>
      </c>
      <c r="D51" s="8">
        <v>2.63</v>
      </c>
      <c r="E51" s="12">
        <v>0</v>
      </c>
      <c r="F51" s="8">
        <v>0</v>
      </c>
      <c r="G51" s="12">
        <v>45</v>
      </c>
      <c r="H51" s="8">
        <v>3.69</v>
      </c>
      <c r="I51" s="12">
        <v>0</v>
      </c>
    </row>
    <row r="52" spans="2:9" ht="15" customHeight="1" x14ac:dyDescent="0.2">
      <c r="B52" t="s">
        <v>157</v>
      </c>
      <c r="C52" s="12">
        <v>44</v>
      </c>
      <c r="D52" s="8">
        <v>2.57</v>
      </c>
      <c r="E52" s="12">
        <v>1</v>
      </c>
      <c r="F52" s="8">
        <v>0.21</v>
      </c>
      <c r="G52" s="12">
        <v>43</v>
      </c>
      <c r="H52" s="8">
        <v>3.53</v>
      </c>
      <c r="I52" s="12">
        <v>0</v>
      </c>
    </row>
    <row r="53" spans="2:9" ht="15" customHeight="1" x14ac:dyDescent="0.2">
      <c r="B53" t="s">
        <v>171</v>
      </c>
      <c r="C53" s="12">
        <v>43</v>
      </c>
      <c r="D53" s="8">
        <v>2.5099999999999998</v>
      </c>
      <c r="E53" s="12">
        <v>35</v>
      </c>
      <c r="F53" s="8">
        <v>7.23</v>
      </c>
      <c r="G53" s="12">
        <v>8</v>
      </c>
      <c r="H53" s="8">
        <v>0.66</v>
      </c>
      <c r="I53" s="12">
        <v>0</v>
      </c>
    </row>
    <row r="54" spans="2:9" ht="15" customHeight="1" x14ac:dyDescent="0.2">
      <c r="B54" t="s">
        <v>173</v>
      </c>
      <c r="C54" s="12">
        <v>40</v>
      </c>
      <c r="D54" s="8">
        <v>2.34</v>
      </c>
      <c r="E54" s="12">
        <v>25</v>
      </c>
      <c r="F54" s="8">
        <v>5.17</v>
      </c>
      <c r="G54" s="12">
        <v>15</v>
      </c>
      <c r="H54" s="8">
        <v>1.23</v>
      </c>
      <c r="I54" s="12">
        <v>0</v>
      </c>
    </row>
    <row r="55" spans="2:9" ht="15" customHeight="1" x14ac:dyDescent="0.2">
      <c r="B55" t="s">
        <v>168</v>
      </c>
      <c r="C55" s="12">
        <v>35</v>
      </c>
      <c r="D55" s="8">
        <v>2.04</v>
      </c>
      <c r="E55" s="12">
        <v>24</v>
      </c>
      <c r="F55" s="8">
        <v>4.96</v>
      </c>
      <c r="G55" s="12">
        <v>11</v>
      </c>
      <c r="H55" s="8">
        <v>0.9</v>
      </c>
      <c r="I55" s="12">
        <v>0</v>
      </c>
    </row>
    <row r="56" spans="2:9" ht="15" customHeight="1" x14ac:dyDescent="0.2">
      <c r="B56" t="s">
        <v>159</v>
      </c>
      <c r="C56" s="12">
        <v>33</v>
      </c>
      <c r="D56" s="8">
        <v>1.93</v>
      </c>
      <c r="E56" s="12">
        <v>7</v>
      </c>
      <c r="F56" s="8">
        <v>1.45</v>
      </c>
      <c r="G56" s="12">
        <v>26</v>
      </c>
      <c r="H56" s="8">
        <v>2.13</v>
      </c>
      <c r="I56" s="12">
        <v>0</v>
      </c>
    </row>
    <row r="57" spans="2:9" ht="15" customHeight="1" x14ac:dyDescent="0.2">
      <c r="B57" t="s">
        <v>161</v>
      </c>
      <c r="C57" s="12">
        <v>31</v>
      </c>
      <c r="D57" s="8">
        <v>1.81</v>
      </c>
      <c r="E57" s="12">
        <v>5</v>
      </c>
      <c r="F57" s="8">
        <v>1.03</v>
      </c>
      <c r="G57" s="12">
        <v>26</v>
      </c>
      <c r="H57" s="8">
        <v>2.13</v>
      </c>
      <c r="I57" s="12">
        <v>0</v>
      </c>
    </row>
    <row r="58" spans="2:9" ht="15" customHeight="1" x14ac:dyDescent="0.2">
      <c r="B58" t="s">
        <v>197</v>
      </c>
      <c r="C58" s="12">
        <v>30</v>
      </c>
      <c r="D58" s="8">
        <v>1.75</v>
      </c>
      <c r="E58" s="12">
        <v>9</v>
      </c>
      <c r="F58" s="8">
        <v>1.86</v>
      </c>
      <c r="G58" s="12">
        <v>21</v>
      </c>
      <c r="H58" s="8">
        <v>1.72</v>
      </c>
      <c r="I58" s="12">
        <v>0</v>
      </c>
    </row>
    <row r="59" spans="2:9" ht="15" customHeight="1" x14ac:dyDescent="0.2">
      <c r="B59" t="s">
        <v>199</v>
      </c>
      <c r="C59" s="12">
        <v>29</v>
      </c>
      <c r="D59" s="8">
        <v>1.69</v>
      </c>
      <c r="E59" s="12">
        <v>3</v>
      </c>
      <c r="F59" s="8">
        <v>0.62</v>
      </c>
      <c r="G59" s="12">
        <v>26</v>
      </c>
      <c r="H59" s="8">
        <v>2.13</v>
      </c>
      <c r="I59" s="12">
        <v>0</v>
      </c>
    </row>
    <row r="60" spans="2:9" ht="15" customHeight="1" x14ac:dyDescent="0.2">
      <c r="B60" t="s">
        <v>166</v>
      </c>
      <c r="C60" s="12">
        <v>27</v>
      </c>
      <c r="D60" s="8">
        <v>1.58</v>
      </c>
      <c r="E60" s="12">
        <v>5</v>
      </c>
      <c r="F60" s="8">
        <v>1.03</v>
      </c>
      <c r="G60" s="12">
        <v>22</v>
      </c>
      <c r="H60" s="8">
        <v>1.81</v>
      </c>
      <c r="I60" s="12">
        <v>0</v>
      </c>
    </row>
    <row r="61" spans="2:9" ht="15" customHeight="1" x14ac:dyDescent="0.2">
      <c r="B61" t="s">
        <v>200</v>
      </c>
      <c r="C61" s="12">
        <v>26</v>
      </c>
      <c r="D61" s="8">
        <v>1.52</v>
      </c>
      <c r="E61" s="12">
        <v>1</v>
      </c>
      <c r="F61" s="8">
        <v>0.21</v>
      </c>
      <c r="G61" s="12">
        <v>25</v>
      </c>
      <c r="H61" s="8">
        <v>2.0499999999999998</v>
      </c>
      <c r="I61" s="12">
        <v>0</v>
      </c>
    </row>
    <row r="62" spans="2:9" ht="15" customHeight="1" x14ac:dyDescent="0.2">
      <c r="B62" t="s">
        <v>192</v>
      </c>
      <c r="C62" s="12">
        <v>25</v>
      </c>
      <c r="D62" s="8">
        <v>1.46</v>
      </c>
      <c r="E62" s="12">
        <v>1</v>
      </c>
      <c r="F62" s="8">
        <v>0.21</v>
      </c>
      <c r="G62" s="12">
        <v>24</v>
      </c>
      <c r="H62" s="8">
        <v>1.97</v>
      </c>
      <c r="I62" s="12">
        <v>0</v>
      </c>
    </row>
    <row r="63" spans="2:9" ht="15" customHeight="1" x14ac:dyDescent="0.2">
      <c r="B63" t="s">
        <v>228</v>
      </c>
      <c r="C63" s="12">
        <v>25</v>
      </c>
      <c r="D63" s="8">
        <v>1.46</v>
      </c>
      <c r="E63" s="12">
        <v>2</v>
      </c>
      <c r="F63" s="8">
        <v>0.41</v>
      </c>
      <c r="G63" s="12">
        <v>23</v>
      </c>
      <c r="H63" s="8">
        <v>1.89</v>
      </c>
      <c r="I63" s="12">
        <v>0</v>
      </c>
    </row>
    <row r="64" spans="2:9" ht="15" customHeight="1" x14ac:dyDescent="0.2">
      <c r="B64" t="s">
        <v>160</v>
      </c>
      <c r="C64" s="12">
        <v>23</v>
      </c>
      <c r="D64" s="8">
        <v>1.34</v>
      </c>
      <c r="E64" s="12">
        <v>0</v>
      </c>
      <c r="F64" s="8">
        <v>0</v>
      </c>
      <c r="G64" s="12">
        <v>23</v>
      </c>
      <c r="H64" s="8">
        <v>1.89</v>
      </c>
      <c r="I64" s="12">
        <v>0</v>
      </c>
    </row>
    <row r="65" spans="2:9" ht="15" customHeight="1" x14ac:dyDescent="0.2">
      <c r="B65" t="s">
        <v>170</v>
      </c>
      <c r="C65" s="12">
        <v>23</v>
      </c>
      <c r="D65" s="8">
        <v>1.34</v>
      </c>
      <c r="E65" s="12">
        <v>20</v>
      </c>
      <c r="F65" s="8">
        <v>4.13</v>
      </c>
      <c r="G65" s="12">
        <v>3</v>
      </c>
      <c r="H65" s="8">
        <v>0.25</v>
      </c>
      <c r="I65" s="12">
        <v>0</v>
      </c>
    </row>
    <row r="66" spans="2:9" ht="15" customHeight="1" x14ac:dyDescent="0.2">
      <c r="B66" t="s">
        <v>198</v>
      </c>
      <c r="C66" s="12">
        <v>22</v>
      </c>
      <c r="D66" s="8">
        <v>1.28</v>
      </c>
      <c r="E66" s="12">
        <v>3</v>
      </c>
      <c r="F66" s="8">
        <v>0.62</v>
      </c>
      <c r="G66" s="12">
        <v>19</v>
      </c>
      <c r="H66" s="8">
        <v>1.56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809A-94E9-4EEE-9FF3-EA64FB4E3B3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213</v>
      </c>
      <c r="D6" s="8">
        <v>16.16</v>
      </c>
      <c r="E6" s="12">
        <v>40</v>
      </c>
      <c r="F6" s="8">
        <v>7.37</v>
      </c>
      <c r="G6" s="12">
        <v>172</v>
      </c>
      <c r="H6" s="8">
        <v>22.51</v>
      </c>
      <c r="I6" s="12">
        <v>1</v>
      </c>
    </row>
    <row r="7" spans="2:9" ht="15" customHeight="1" x14ac:dyDescent="0.2">
      <c r="B7" t="s">
        <v>67</v>
      </c>
      <c r="C7" s="12">
        <v>116</v>
      </c>
      <c r="D7" s="8">
        <v>8.8000000000000007</v>
      </c>
      <c r="E7" s="12">
        <v>30</v>
      </c>
      <c r="F7" s="8">
        <v>5.52</v>
      </c>
      <c r="G7" s="12">
        <v>86</v>
      </c>
      <c r="H7" s="8">
        <v>11.26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69</v>
      </c>
      <c r="C9" s="12">
        <v>32</v>
      </c>
      <c r="D9" s="8">
        <v>2.4300000000000002</v>
      </c>
      <c r="E9" s="12">
        <v>2</v>
      </c>
      <c r="F9" s="8">
        <v>0.37</v>
      </c>
      <c r="G9" s="12">
        <v>30</v>
      </c>
      <c r="H9" s="8">
        <v>3.93</v>
      </c>
      <c r="I9" s="12">
        <v>0</v>
      </c>
    </row>
    <row r="10" spans="2:9" ht="15" customHeight="1" x14ac:dyDescent="0.2">
      <c r="B10" t="s">
        <v>70</v>
      </c>
      <c r="C10" s="12">
        <v>13</v>
      </c>
      <c r="D10" s="8">
        <v>0.99</v>
      </c>
      <c r="E10" s="12">
        <v>2</v>
      </c>
      <c r="F10" s="8">
        <v>0.37</v>
      </c>
      <c r="G10" s="12">
        <v>11</v>
      </c>
      <c r="H10" s="8">
        <v>1.44</v>
      </c>
      <c r="I10" s="12">
        <v>0</v>
      </c>
    </row>
    <row r="11" spans="2:9" ht="15" customHeight="1" x14ac:dyDescent="0.2">
      <c r="B11" t="s">
        <v>71</v>
      </c>
      <c r="C11" s="12">
        <v>208</v>
      </c>
      <c r="D11" s="8">
        <v>15.78</v>
      </c>
      <c r="E11" s="12">
        <v>74</v>
      </c>
      <c r="F11" s="8">
        <v>13.63</v>
      </c>
      <c r="G11" s="12">
        <v>132</v>
      </c>
      <c r="H11" s="8">
        <v>17.28</v>
      </c>
      <c r="I11" s="12">
        <v>2</v>
      </c>
    </row>
    <row r="12" spans="2:9" ht="15" customHeight="1" x14ac:dyDescent="0.2">
      <c r="B12" t="s">
        <v>72</v>
      </c>
      <c r="C12" s="12">
        <v>7</v>
      </c>
      <c r="D12" s="8">
        <v>0.53</v>
      </c>
      <c r="E12" s="12">
        <v>1</v>
      </c>
      <c r="F12" s="8">
        <v>0.18</v>
      </c>
      <c r="G12" s="12">
        <v>6</v>
      </c>
      <c r="H12" s="8">
        <v>0.79</v>
      </c>
      <c r="I12" s="12">
        <v>0</v>
      </c>
    </row>
    <row r="13" spans="2:9" ht="15" customHeight="1" x14ac:dyDescent="0.2">
      <c r="B13" t="s">
        <v>73</v>
      </c>
      <c r="C13" s="12">
        <v>246</v>
      </c>
      <c r="D13" s="8">
        <v>18.66</v>
      </c>
      <c r="E13" s="12">
        <v>144</v>
      </c>
      <c r="F13" s="8">
        <v>26.52</v>
      </c>
      <c r="G13" s="12">
        <v>102</v>
      </c>
      <c r="H13" s="8">
        <v>13.35</v>
      </c>
      <c r="I13" s="12">
        <v>0</v>
      </c>
    </row>
    <row r="14" spans="2:9" ht="15" customHeight="1" x14ac:dyDescent="0.2">
      <c r="B14" t="s">
        <v>74</v>
      </c>
      <c r="C14" s="12">
        <v>96</v>
      </c>
      <c r="D14" s="8">
        <v>7.28</v>
      </c>
      <c r="E14" s="12">
        <v>17</v>
      </c>
      <c r="F14" s="8">
        <v>3.13</v>
      </c>
      <c r="G14" s="12">
        <v>78</v>
      </c>
      <c r="H14" s="8">
        <v>10.210000000000001</v>
      </c>
      <c r="I14" s="12">
        <v>0</v>
      </c>
    </row>
    <row r="15" spans="2:9" ht="15" customHeight="1" x14ac:dyDescent="0.2">
      <c r="B15" t="s">
        <v>75</v>
      </c>
      <c r="C15" s="12">
        <v>100</v>
      </c>
      <c r="D15" s="8">
        <v>7.59</v>
      </c>
      <c r="E15" s="12">
        <v>73</v>
      </c>
      <c r="F15" s="8">
        <v>13.44</v>
      </c>
      <c r="G15" s="12">
        <v>26</v>
      </c>
      <c r="H15" s="8">
        <v>3.4</v>
      </c>
      <c r="I15" s="12">
        <v>0</v>
      </c>
    </row>
    <row r="16" spans="2:9" ht="15" customHeight="1" x14ac:dyDescent="0.2">
      <c r="B16" t="s">
        <v>76</v>
      </c>
      <c r="C16" s="12">
        <v>127</v>
      </c>
      <c r="D16" s="8">
        <v>9.64</v>
      </c>
      <c r="E16" s="12">
        <v>82</v>
      </c>
      <c r="F16" s="8">
        <v>15.1</v>
      </c>
      <c r="G16" s="12">
        <v>44</v>
      </c>
      <c r="H16" s="8">
        <v>5.76</v>
      </c>
      <c r="I16" s="12">
        <v>0</v>
      </c>
    </row>
    <row r="17" spans="2:9" ht="15" customHeight="1" x14ac:dyDescent="0.2">
      <c r="B17" t="s">
        <v>77</v>
      </c>
      <c r="C17" s="12">
        <v>43</v>
      </c>
      <c r="D17" s="8">
        <v>3.26</v>
      </c>
      <c r="E17" s="12">
        <v>27</v>
      </c>
      <c r="F17" s="8">
        <v>4.97</v>
      </c>
      <c r="G17" s="12">
        <v>14</v>
      </c>
      <c r="H17" s="8">
        <v>1.83</v>
      </c>
      <c r="I17" s="12">
        <v>0</v>
      </c>
    </row>
    <row r="18" spans="2:9" ht="15" customHeight="1" x14ac:dyDescent="0.2">
      <c r="B18" t="s">
        <v>78</v>
      </c>
      <c r="C18" s="12">
        <v>62</v>
      </c>
      <c r="D18" s="8">
        <v>4.7</v>
      </c>
      <c r="E18" s="12">
        <v>38</v>
      </c>
      <c r="F18" s="8">
        <v>7</v>
      </c>
      <c r="G18" s="12">
        <v>24</v>
      </c>
      <c r="H18" s="8">
        <v>3.14</v>
      </c>
      <c r="I18" s="12">
        <v>0</v>
      </c>
    </row>
    <row r="19" spans="2:9" ht="15" customHeight="1" x14ac:dyDescent="0.2">
      <c r="B19" t="s">
        <v>79</v>
      </c>
      <c r="C19" s="12">
        <v>54</v>
      </c>
      <c r="D19" s="8">
        <v>4.0999999999999996</v>
      </c>
      <c r="E19" s="12">
        <v>13</v>
      </c>
      <c r="F19" s="8">
        <v>2.39</v>
      </c>
      <c r="G19" s="12">
        <v>38</v>
      </c>
      <c r="H19" s="8">
        <v>4.97</v>
      </c>
      <c r="I19" s="12">
        <v>2</v>
      </c>
    </row>
    <row r="20" spans="2:9" ht="15" customHeight="1" x14ac:dyDescent="0.2">
      <c r="B20" s="9" t="s">
        <v>280</v>
      </c>
      <c r="C20" s="12">
        <f>SUM(LTBL_13225[総数／事業所数])</f>
        <v>1318</v>
      </c>
      <c r="E20" s="12">
        <f>SUBTOTAL(109,LTBL_13225[個人／事業所数])</f>
        <v>543</v>
      </c>
      <c r="G20" s="12">
        <f>SUBTOTAL(109,LTBL_13225[法人／事業所数])</f>
        <v>764</v>
      </c>
      <c r="I20" s="12">
        <f>SUBTOTAL(109,LTBL_13225[法人以外の団体／事業所数])</f>
        <v>5</v>
      </c>
    </row>
    <row r="21" spans="2:9" ht="15" customHeight="1" x14ac:dyDescent="0.2">
      <c r="E21" s="11">
        <f>LTBL_13225[[#Totals],[個人／事業所数]]/LTBL_13225[[#Totals],[総数／事業所数]]</f>
        <v>0.41198786039453716</v>
      </c>
      <c r="G21" s="11">
        <f>LTBL_13225[[#Totals],[法人／事業所数]]/LTBL_13225[[#Totals],[総数／事業所数]]</f>
        <v>0.5796661608497724</v>
      </c>
      <c r="I21" s="11">
        <f>LTBL_13225[[#Totals],[法人以外の団体／事業所数]]/LTBL_13225[[#Totals],[総数／事業所数]]</f>
        <v>3.7936267071320183E-3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224</v>
      </c>
      <c r="D24" s="8">
        <v>17</v>
      </c>
      <c r="E24" s="12">
        <v>141</v>
      </c>
      <c r="F24" s="8">
        <v>25.97</v>
      </c>
      <c r="G24" s="12">
        <v>83</v>
      </c>
      <c r="H24" s="8">
        <v>10.86</v>
      </c>
      <c r="I24" s="12">
        <v>0</v>
      </c>
    </row>
    <row r="25" spans="2:9" ht="15" customHeight="1" x14ac:dyDescent="0.2">
      <c r="B25" t="s">
        <v>104</v>
      </c>
      <c r="C25" s="12">
        <v>98</v>
      </c>
      <c r="D25" s="8">
        <v>7.44</v>
      </c>
      <c r="E25" s="12">
        <v>75</v>
      </c>
      <c r="F25" s="8">
        <v>13.81</v>
      </c>
      <c r="G25" s="12">
        <v>23</v>
      </c>
      <c r="H25" s="8">
        <v>3.01</v>
      </c>
      <c r="I25" s="12">
        <v>0</v>
      </c>
    </row>
    <row r="26" spans="2:9" ht="15" customHeight="1" x14ac:dyDescent="0.2">
      <c r="B26" t="s">
        <v>89</v>
      </c>
      <c r="C26" s="12">
        <v>93</v>
      </c>
      <c r="D26" s="8">
        <v>7.06</v>
      </c>
      <c r="E26" s="12">
        <v>28</v>
      </c>
      <c r="F26" s="8">
        <v>5.16</v>
      </c>
      <c r="G26" s="12">
        <v>65</v>
      </c>
      <c r="H26" s="8">
        <v>8.51</v>
      </c>
      <c r="I26" s="12">
        <v>0</v>
      </c>
    </row>
    <row r="27" spans="2:9" ht="15" customHeight="1" x14ac:dyDescent="0.2">
      <c r="B27" t="s">
        <v>103</v>
      </c>
      <c r="C27" s="12">
        <v>88</v>
      </c>
      <c r="D27" s="8">
        <v>6.68</v>
      </c>
      <c r="E27" s="12">
        <v>69</v>
      </c>
      <c r="F27" s="8">
        <v>12.71</v>
      </c>
      <c r="G27" s="12">
        <v>19</v>
      </c>
      <c r="H27" s="8">
        <v>2.4900000000000002</v>
      </c>
      <c r="I27" s="12">
        <v>0</v>
      </c>
    </row>
    <row r="28" spans="2:9" ht="15" customHeight="1" x14ac:dyDescent="0.2">
      <c r="B28" t="s">
        <v>88</v>
      </c>
      <c r="C28" s="12">
        <v>69</v>
      </c>
      <c r="D28" s="8">
        <v>5.24</v>
      </c>
      <c r="E28" s="12">
        <v>11</v>
      </c>
      <c r="F28" s="8">
        <v>2.0299999999999998</v>
      </c>
      <c r="G28" s="12">
        <v>57</v>
      </c>
      <c r="H28" s="8">
        <v>7.46</v>
      </c>
      <c r="I28" s="12">
        <v>1</v>
      </c>
    </row>
    <row r="29" spans="2:9" ht="15" customHeight="1" x14ac:dyDescent="0.2">
      <c r="B29" t="s">
        <v>98</v>
      </c>
      <c r="C29" s="12">
        <v>59</v>
      </c>
      <c r="D29" s="8">
        <v>4.4800000000000004</v>
      </c>
      <c r="E29" s="12">
        <v>27</v>
      </c>
      <c r="F29" s="8">
        <v>4.97</v>
      </c>
      <c r="G29" s="12">
        <v>32</v>
      </c>
      <c r="H29" s="8">
        <v>4.1900000000000004</v>
      </c>
      <c r="I29" s="12">
        <v>0</v>
      </c>
    </row>
    <row r="30" spans="2:9" ht="15" customHeight="1" x14ac:dyDescent="0.2">
      <c r="B30" t="s">
        <v>102</v>
      </c>
      <c r="C30" s="12">
        <v>52</v>
      </c>
      <c r="D30" s="8">
        <v>3.95</v>
      </c>
      <c r="E30" s="12">
        <v>12</v>
      </c>
      <c r="F30" s="8">
        <v>2.21</v>
      </c>
      <c r="G30" s="12">
        <v>39</v>
      </c>
      <c r="H30" s="8">
        <v>5.0999999999999996</v>
      </c>
      <c r="I30" s="12">
        <v>0</v>
      </c>
    </row>
    <row r="31" spans="2:9" ht="15" customHeight="1" x14ac:dyDescent="0.2">
      <c r="B31" t="s">
        <v>90</v>
      </c>
      <c r="C31" s="12">
        <v>51</v>
      </c>
      <c r="D31" s="8">
        <v>3.87</v>
      </c>
      <c r="E31" s="12">
        <v>1</v>
      </c>
      <c r="F31" s="8">
        <v>0.18</v>
      </c>
      <c r="G31" s="12">
        <v>50</v>
      </c>
      <c r="H31" s="8">
        <v>6.54</v>
      </c>
      <c r="I31" s="12">
        <v>0</v>
      </c>
    </row>
    <row r="32" spans="2:9" ht="15" customHeight="1" x14ac:dyDescent="0.2">
      <c r="B32" t="s">
        <v>106</v>
      </c>
      <c r="C32" s="12">
        <v>49</v>
      </c>
      <c r="D32" s="8">
        <v>3.72</v>
      </c>
      <c r="E32" s="12">
        <v>37</v>
      </c>
      <c r="F32" s="8">
        <v>6.81</v>
      </c>
      <c r="G32" s="12">
        <v>12</v>
      </c>
      <c r="H32" s="8">
        <v>1.57</v>
      </c>
      <c r="I32" s="12">
        <v>0</v>
      </c>
    </row>
    <row r="33" spans="2:9" ht="15" customHeight="1" x14ac:dyDescent="0.2">
      <c r="B33" t="s">
        <v>105</v>
      </c>
      <c r="C33" s="12">
        <v>43</v>
      </c>
      <c r="D33" s="8">
        <v>3.26</v>
      </c>
      <c r="E33" s="12">
        <v>27</v>
      </c>
      <c r="F33" s="8">
        <v>4.97</v>
      </c>
      <c r="G33" s="12">
        <v>14</v>
      </c>
      <c r="H33" s="8">
        <v>1.83</v>
      </c>
      <c r="I33" s="12">
        <v>0</v>
      </c>
    </row>
    <row r="34" spans="2:9" ht="15" customHeight="1" x14ac:dyDescent="0.2">
      <c r="B34" t="s">
        <v>101</v>
      </c>
      <c r="C34" s="12">
        <v>42</v>
      </c>
      <c r="D34" s="8">
        <v>3.19</v>
      </c>
      <c r="E34" s="12">
        <v>5</v>
      </c>
      <c r="F34" s="8">
        <v>0.92</v>
      </c>
      <c r="G34" s="12">
        <v>37</v>
      </c>
      <c r="H34" s="8">
        <v>4.84</v>
      </c>
      <c r="I34" s="12">
        <v>0</v>
      </c>
    </row>
    <row r="35" spans="2:9" ht="15" customHeight="1" x14ac:dyDescent="0.2">
      <c r="B35" t="s">
        <v>96</v>
      </c>
      <c r="C35" s="12">
        <v>41</v>
      </c>
      <c r="D35" s="8">
        <v>3.11</v>
      </c>
      <c r="E35" s="12">
        <v>23</v>
      </c>
      <c r="F35" s="8">
        <v>4.24</v>
      </c>
      <c r="G35" s="12">
        <v>17</v>
      </c>
      <c r="H35" s="8">
        <v>2.23</v>
      </c>
      <c r="I35" s="12">
        <v>1</v>
      </c>
    </row>
    <row r="36" spans="2:9" ht="15" customHeight="1" x14ac:dyDescent="0.2">
      <c r="B36" t="s">
        <v>107</v>
      </c>
      <c r="C36" s="12">
        <v>27</v>
      </c>
      <c r="D36" s="8">
        <v>2.0499999999999998</v>
      </c>
      <c r="E36" s="12">
        <v>0</v>
      </c>
      <c r="F36" s="8">
        <v>0</v>
      </c>
      <c r="G36" s="12">
        <v>25</v>
      </c>
      <c r="H36" s="8">
        <v>3.27</v>
      </c>
      <c r="I36" s="12">
        <v>2</v>
      </c>
    </row>
    <row r="37" spans="2:9" ht="15" customHeight="1" x14ac:dyDescent="0.2">
      <c r="B37" t="s">
        <v>115</v>
      </c>
      <c r="C37" s="12">
        <v>22</v>
      </c>
      <c r="D37" s="8">
        <v>1.67</v>
      </c>
      <c r="E37" s="12">
        <v>5</v>
      </c>
      <c r="F37" s="8">
        <v>0.92</v>
      </c>
      <c r="G37" s="12">
        <v>16</v>
      </c>
      <c r="H37" s="8">
        <v>2.09</v>
      </c>
      <c r="I37" s="12">
        <v>0</v>
      </c>
    </row>
    <row r="38" spans="2:9" ht="15" customHeight="1" x14ac:dyDescent="0.2">
      <c r="B38" t="s">
        <v>93</v>
      </c>
      <c r="C38" s="12">
        <v>21</v>
      </c>
      <c r="D38" s="8">
        <v>1.59</v>
      </c>
      <c r="E38" s="12">
        <v>1</v>
      </c>
      <c r="F38" s="8">
        <v>0.18</v>
      </c>
      <c r="G38" s="12">
        <v>20</v>
      </c>
      <c r="H38" s="8">
        <v>2.62</v>
      </c>
      <c r="I38" s="12">
        <v>0</v>
      </c>
    </row>
    <row r="39" spans="2:9" ht="15" customHeight="1" x14ac:dyDescent="0.2">
      <c r="B39" t="s">
        <v>97</v>
      </c>
      <c r="C39" s="12">
        <v>21</v>
      </c>
      <c r="D39" s="8">
        <v>1.59</v>
      </c>
      <c r="E39" s="12">
        <v>10</v>
      </c>
      <c r="F39" s="8">
        <v>1.84</v>
      </c>
      <c r="G39" s="12">
        <v>11</v>
      </c>
      <c r="H39" s="8">
        <v>1.44</v>
      </c>
      <c r="I39" s="12">
        <v>0</v>
      </c>
    </row>
    <row r="40" spans="2:9" ht="15" customHeight="1" x14ac:dyDescent="0.2">
      <c r="B40" t="s">
        <v>94</v>
      </c>
      <c r="C40" s="12">
        <v>18</v>
      </c>
      <c r="D40" s="8">
        <v>1.37</v>
      </c>
      <c r="E40" s="12">
        <v>3</v>
      </c>
      <c r="F40" s="8">
        <v>0.55000000000000004</v>
      </c>
      <c r="G40" s="12">
        <v>15</v>
      </c>
      <c r="H40" s="8">
        <v>1.96</v>
      </c>
      <c r="I40" s="12">
        <v>0</v>
      </c>
    </row>
    <row r="41" spans="2:9" ht="15" customHeight="1" x14ac:dyDescent="0.2">
      <c r="B41" t="s">
        <v>99</v>
      </c>
      <c r="C41" s="12">
        <v>18</v>
      </c>
      <c r="D41" s="8">
        <v>1.37</v>
      </c>
      <c r="E41" s="12">
        <v>3</v>
      </c>
      <c r="F41" s="8">
        <v>0.55000000000000004</v>
      </c>
      <c r="G41" s="12">
        <v>15</v>
      </c>
      <c r="H41" s="8">
        <v>1.96</v>
      </c>
      <c r="I41" s="12">
        <v>0</v>
      </c>
    </row>
    <row r="42" spans="2:9" ht="15" customHeight="1" x14ac:dyDescent="0.2">
      <c r="B42" t="s">
        <v>91</v>
      </c>
      <c r="C42" s="12">
        <v>16</v>
      </c>
      <c r="D42" s="8">
        <v>1.21</v>
      </c>
      <c r="E42" s="12">
        <v>0</v>
      </c>
      <c r="F42" s="8">
        <v>0</v>
      </c>
      <c r="G42" s="12">
        <v>16</v>
      </c>
      <c r="H42" s="8">
        <v>2.09</v>
      </c>
      <c r="I42" s="12">
        <v>0</v>
      </c>
    </row>
    <row r="43" spans="2:9" ht="15" customHeight="1" x14ac:dyDescent="0.2">
      <c r="B43" t="s">
        <v>110</v>
      </c>
      <c r="C43" s="12">
        <v>16</v>
      </c>
      <c r="D43" s="8">
        <v>1.21</v>
      </c>
      <c r="E43" s="12">
        <v>2</v>
      </c>
      <c r="F43" s="8">
        <v>0.37</v>
      </c>
      <c r="G43" s="12">
        <v>14</v>
      </c>
      <c r="H43" s="8">
        <v>1.83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153</v>
      </c>
      <c r="D47" s="8">
        <v>11.61</v>
      </c>
      <c r="E47" s="12">
        <v>110</v>
      </c>
      <c r="F47" s="8">
        <v>20.260000000000002</v>
      </c>
      <c r="G47" s="12">
        <v>43</v>
      </c>
      <c r="H47" s="8">
        <v>5.63</v>
      </c>
      <c r="I47" s="12">
        <v>0</v>
      </c>
    </row>
    <row r="48" spans="2:9" ht="15" customHeight="1" x14ac:dyDescent="0.2">
      <c r="B48" t="s">
        <v>172</v>
      </c>
      <c r="C48" s="12">
        <v>41</v>
      </c>
      <c r="D48" s="8">
        <v>3.11</v>
      </c>
      <c r="E48" s="12">
        <v>33</v>
      </c>
      <c r="F48" s="8">
        <v>6.08</v>
      </c>
      <c r="G48" s="12">
        <v>8</v>
      </c>
      <c r="H48" s="8">
        <v>1.05</v>
      </c>
      <c r="I48" s="12">
        <v>0</v>
      </c>
    </row>
    <row r="49" spans="2:9" ht="15" customHeight="1" x14ac:dyDescent="0.2">
      <c r="B49" t="s">
        <v>175</v>
      </c>
      <c r="C49" s="12">
        <v>32</v>
      </c>
      <c r="D49" s="8">
        <v>2.4300000000000002</v>
      </c>
      <c r="E49" s="12">
        <v>25</v>
      </c>
      <c r="F49" s="8">
        <v>4.5999999999999996</v>
      </c>
      <c r="G49" s="12">
        <v>7</v>
      </c>
      <c r="H49" s="8">
        <v>0.92</v>
      </c>
      <c r="I49" s="12">
        <v>0</v>
      </c>
    </row>
    <row r="50" spans="2:9" ht="15" customHeight="1" x14ac:dyDescent="0.2">
      <c r="B50" t="s">
        <v>173</v>
      </c>
      <c r="C50" s="12">
        <v>31</v>
      </c>
      <c r="D50" s="8">
        <v>2.35</v>
      </c>
      <c r="E50" s="12">
        <v>21</v>
      </c>
      <c r="F50" s="8">
        <v>3.87</v>
      </c>
      <c r="G50" s="12">
        <v>10</v>
      </c>
      <c r="H50" s="8">
        <v>1.31</v>
      </c>
      <c r="I50" s="12">
        <v>0</v>
      </c>
    </row>
    <row r="51" spans="2:9" ht="15" customHeight="1" x14ac:dyDescent="0.2">
      <c r="B51" t="s">
        <v>171</v>
      </c>
      <c r="C51" s="12">
        <v>30</v>
      </c>
      <c r="D51" s="8">
        <v>2.2799999999999998</v>
      </c>
      <c r="E51" s="12">
        <v>28</v>
      </c>
      <c r="F51" s="8">
        <v>5.16</v>
      </c>
      <c r="G51" s="12">
        <v>2</v>
      </c>
      <c r="H51" s="8">
        <v>0.26</v>
      </c>
      <c r="I51" s="12">
        <v>0</v>
      </c>
    </row>
    <row r="52" spans="2:9" ht="15" customHeight="1" x14ac:dyDescent="0.2">
      <c r="B52" t="s">
        <v>163</v>
      </c>
      <c r="C52" s="12">
        <v>29</v>
      </c>
      <c r="D52" s="8">
        <v>2.2000000000000002</v>
      </c>
      <c r="E52" s="12">
        <v>4</v>
      </c>
      <c r="F52" s="8">
        <v>0.74</v>
      </c>
      <c r="G52" s="12">
        <v>25</v>
      </c>
      <c r="H52" s="8">
        <v>3.27</v>
      </c>
      <c r="I52" s="12">
        <v>0</v>
      </c>
    </row>
    <row r="53" spans="2:9" ht="15" customHeight="1" x14ac:dyDescent="0.2">
      <c r="B53" t="s">
        <v>167</v>
      </c>
      <c r="C53" s="12">
        <v>29</v>
      </c>
      <c r="D53" s="8">
        <v>2.2000000000000002</v>
      </c>
      <c r="E53" s="12">
        <v>4</v>
      </c>
      <c r="F53" s="8">
        <v>0.74</v>
      </c>
      <c r="G53" s="12">
        <v>24</v>
      </c>
      <c r="H53" s="8">
        <v>3.14</v>
      </c>
      <c r="I53" s="12">
        <v>0</v>
      </c>
    </row>
    <row r="54" spans="2:9" ht="15" customHeight="1" x14ac:dyDescent="0.2">
      <c r="B54" t="s">
        <v>161</v>
      </c>
      <c r="C54" s="12">
        <v>25</v>
      </c>
      <c r="D54" s="8">
        <v>1.9</v>
      </c>
      <c r="E54" s="12">
        <v>14</v>
      </c>
      <c r="F54" s="8">
        <v>2.58</v>
      </c>
      <c r="G54" s="12">
        <v>11</v>
      </c>
      <c r="H54" s="8">
        <v>1.44</v>
      </c>
      <c r="I54" s="12">
        <v>0</v>
      </c>
    </row>
    <row r="55" spans="2:9" ht="15" customHeight="1" x14ac:dyDescent="0.2">
      <c r="B55" t="s">
        <v>169</v>
      </c>
      <c r="C55" s="12">
        <v>24</v>
      </c>
      <c r="D55" s="8">
        <v>1.82</v>
      </c>
      <c r="E55" s="12">
        <v>20</v>
      </c>
      <c r="F55" s="8">
        <v>3.68</v>
      </c>
      <c r="G55" s="12">
        <v>4</v>
      </c>
      <c r="H55" s="8">
        <v>0.52</v>
      </c>
      <c r="I55" s="12">
        <v>0</v>
      </c>
    </row>
    <row r="56" spans="2:9" ht="15" customHeight="1" x14ac:dyDescent="0.2">
      <c r="B56" t="s">
        <v>220</v>
      </c>
      <c r="C56" s="12">
        <v>23</v>
      </c>
      <c r="D56" s="8">
        <v>1.75</v>
      </c>
      <c r="E56" s="12">
        <v>4</v>
      </c>
      <c r="F56" s="8">
        <v>0.74</v>
      </c>
      <c r="G56" s="12">
        <v>18</v>
      </c>
      <c r="H56" s="8">
        <v>2.36</v>
      </c>
      <c r="I56" s="12">
        <v>1</v>
      </c>
    </row>
    <row r="57" spans="2:9" ht="15" customHeight="1" x14ac:dyDescent="0.2">
      <c r="B57" t="s">
        <v>168</v>
      </c>
      <c r="C57" s="12">
        <v>23</v>
      </c>
      <c r="D57" s="8">
        <v>1.75</v>
      </c>
      <c r="E57" s="12">
        <v>19</v>
      </c>
      <c r="F57" s="8">
        <v>3.5</v>
      </c>
      <c r="G57" s="12">
        <v>4</v>
      </c>
      <c r="H57" s="8">
        <v>0.52</v>
      </c>
      <c r="I57" s="12">
        <v>0</v>
      </c>
    </row>
    <row r="58" spans="2:9" ht="15" customHeight="1" x14ac:dyDescent="0.2">
      <c r="B58" t="s">
        <v>208</v>
      </c>
      <c r="C58" s="12">
        <v>21</v>
      </c>
      <c r="D58" s="8">
        <v>1.59</v>
      </c>
      <c r="E58" s="12">
        <v>6</v>
      </c>
      <c r="F58" s="8">
        <v>1.1000000000000001</v>
      </c>
      <c r="G58" s="12">
        <v>15</v>
      </c>
      <c r="H58" s="8">
        <v>1.96</v>
      </c>
      <c r="I58" s="12">
        <v>0</v>
      </c>
    </row>
    <row r="59" spans="2:9" ht="15" customHeight="1" x14ac:dyDescent="0.2">
      <c r="B59" t="s">
        <v>192</v>
      </c>
      <c r="C59" s="12">
        <v>21</v>
      </c>
      <c r="D59" s="8">
        <v>1.59</v>
      </c>
      <c r="E59" s="12">
        <v>1</v>
      </c>
      <c r="F59" s="8">
        <v>0.18</v>
      </c>
      <c r="G59" s="12">
        <v>20</v>
      </c>
      <c r="H59" s="8">
        <v>2.62</v>
      </c>
      <c r="I59" s="12">
        <v>0</v>
      </c>
    </row>
    <row r="60" spans="2:9" ht="15" customHeight="1" x14ac:dyDescent="0.2">
      <c r="B60" t="s">
        <v>201</v>
      </c>
      <c r="C60" s="12">
        <v>19</v>
      </c>
      <c r="D60" s="8">
        <v>1.44</v>
      </c>
      <c r="E60" s="12">
        <v>0</v>
      </c>
      <c r="F60" s="8">
        <v>0</v>
      </c>
      <c r="G60" s="12">
        <v>19</v>
      </c>
      <c r="H60" s="8">
        <v>2.4900000000000002</v>
      </c>
      <c r="I60" s="12">
        <v>0</v>
      </c>
    </row>
    <row r="61" spans="2:9" ht="15" customHeight="1" x14ac:dyDescent="0.2">
      <c r="B61" t="s">
        <v>159</v>
      </c>
      <c r="C61" s="12">
        <v>19</v>
      </c>
      <c r="D61" s="8">
        <v>1.44</v>
      </c>
      <c r="E61" s="12">
        <v>9</v>
      </c>
      <c r="F61" s="8">
        <v>1.66</v>
      </c>
      <c r="G61" s="12">
        <v>10</v>
      </c>
      <c r="H61" s="8">
        <v>1.31</v>
      </c>
      <c r="I61" s="12">
        <v>0</v>
      </c>
    </row>
    <row r="62" spans="2:9" ht="15" customHeight="1" x14ac:dyDescent="0.2">
      <c r="B62" t="s">
        <v>165</v>
      </c>
      <c r="C62" s="12">
        <v>19</v>
      </c>
      <c r="D62" s="8">
        <v>1.44</v>
      </c>
      <c r="E62" s="12">
        <v>0</v>
      </c>
      <c r="F62" s="8">
        <v>0</v>
      </c>
      <c r="G62" s="12">
        <v>19</v>
      </c>
      <c r="H62" s="8">
        <v>2.4900000000000002</v>
      </c>
      <c r="I62" s="12">
        <v>0</v>
      </c>
    </row>
    <row r="63" spans="2:9" ht="15" customHeight="1" x14ac:dyDescent="0.2">
      <c r="B63" t="s">
        <v>197</v>
      </c>
      <c r="C63" s="12">
        <v>19</v>
      </c>
      <c r="D63" s="8">
        <v>1.44</v>
      </c>
      <c r="E63" s="12">
        <v>8</v>
      </c>
      <c r="F63" s="8">
        <v>1.47</v>
      </c>
      <c r="G63" s="12">
        <v>11</v>
      </c>
      <c r="H63" s="8">
        <v>1.44</v>
      </c>
      <c r="I63" s="12">
        <v>0</v>
      </c>
    </row>
    <row r="64" spans="2:9" ht="15" customHeight="1" x14ac:dyDescent="0.2">
      <c r="B64" t="s">
        <v>206</v>
      </c>
      <c r="C64" s="12">
        <v>17</v>
      </c>
      <c r="D64" s="8">
        <v>1.29</v>
      </c>
      <c r="E64" s="12">
        <v>1</v>
      </c>
      <c r="F64" s="8">
        <v>0.18</v>
      </c>
      <c r="G64" s="12">
        <v>16</v>
      </c>
      <c r="H64" s="8">
        <v>2.09</v>
      </c>
      <c r="I64" s="12">
        <v>0</v>
      </c>
    </row>
    <row r="65" spans="2:9" ht="15" customHeight="1" x14ac:dyDescent="0.2">
      <c r="B65" t="s">
        <v>229</v>
      </c>
      <c r="C65" s="12">
        <v>17</v>
      </c>
      <c r="D65" s="8">
        <v>1.29</v>
      </c>
      <c r="E65" s="12">
        <v>2</v>
      </c>
      <c r="F65" s="8">
        <v>0.37</v>
      </c>
      <c r="G65" s="12">
        <v>15</v>
      </c>
      <c r="H65" s="8">
        <v>1.96</v>
      </c>
      <c r="I65" s="12">
        <v>0</v>
      </c>
    </row>
    <row r="66" spans="2:9" ht="15" customHeight="1" x14ac:dyDescent="0.2">
      <c r="B66" t="s">
        <v>204</v>
      </c>
      <c r="C66" s="12">
        <v>17</v>
      </c>
      <c r="D66" s="8">
        <v>1.29</v>
      </c>
      <c r="E66" s="12">
        <v>13</v>
      </c>
      <c r="F66" s="8">
        <v>2.39</v>
      </c>
      <c r="G66" s="12">
        <v>4</v>
      </c>
      <c r="H66" s="8">
        <v>0.52</v>
      </c>
      <c r="I66" s="12">
        <v>0</v>
      </c>
    </row>
    <row r="67" spans="2:9" ht="15" customHeight="1" x14ac:dyDescent="0.2">
      <c r="B67" t="s">
        <v>170</v>
      </c>
      <c r="C67" s="12">
        <v>17</v>
      </c>
      <c r="D67" s="8">
        <v>1.29</v>
      </c>
      <c r="E67" s="12">
        <v>16</v>
      </c>
      <c r="F67" s="8">
        <v>2.95</v>
      </c>
      <c r="G67" s="12">
        <v>1</v>
      </c>
      <c r="H67" s="8">
        <v>0.13</v>
      </c>
      <c r="I67" s="12">
        <v>0</v>
      </c>
    </row>
    <row r="68" spans="2:9" ht="15" customHeight="1" x14ac:dyDescent="0.2">
      <c r="B68" t="s">
        <v>176</v>
      </c>
      <c r="C68" s="12">
        <v>17</v>
      </c>
      <c r="D68" s="8">
        <v>1.29</v>
      </c>
      <c r="E68" s="12">
        <v>0</v>
      </c>
      <c r="F68" s="8">
        <v>0</v>
      </c>
      <c r="G68" s="12">
        <v>15</v>
      </c>
      <c r="H68" s="8">
        <v>1.96</v>
      </c>
      <c r="I68" s="12">
        <v>2</v>
      </c>
    </row>
    <row r="70" spans="2:9" ht="15" customHeight="1" x14ac:dyDescent="0.2">
      <c r="B7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366E-B406-4E17-94E5-4D87CED84A1B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120</v>
      </c>
      <c r="D6" s="8">
        <v>11.74</v>
      </c>
      <c r="E6" s="12">
        <v>27</v>
      </c>
      <c r="F6" s="8">
        <v>5.38</v>
      </c>
      <c r="G6" s="12">
        <v>93</v>
      </c>
      <c r="H6" s="8">
        <v>18.02</v>
      </c>
      <c r="I6" s="12">
        <v>0</v>
      </c>
    </row>
    <row r="7" spans="2:9" ht="15" customHeight="1" x14ac:dyDescent="0.2">
      <c r="B7" t="s">
        <v>67</v>
      </c>
      <c r="C7" s="12">
        <v>68</v>
      </c>
      <c r="D7" s="8">
        <v>6.65</v>
      </c>
      <c r="E7" s="12">
        <v>14</v>
      </c>
      <c r="F7" s="8">
        <v>2.79</v>
      </c>
      <c r="G7" s="12">
        <v>54</v>
      </c>
      <c r="H7" s="8">
        <v>10.47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14</v>
      </c>
      <c r="D9" s="8">
        <v>1.37</v>
      </c>
      <c r="E9" s="12">
        <v>1</v>
      </c>
      <c r="F9" s="8">
        <v>0.2</v>
      </c>
      <c r="G9" s="12">
        <v>13</v>
      </c>
      <c r="H9" s="8">
        <v>2.52</v>
      </c>
      <c r="I9" s="12">
        <v>0</v>
      </c>
    </row>
    <row r="10" spans="2:9" ht="15" customHeight="1" x14ac:dyDescent="0.2">
      <c r="B10" t="s">
        <v>70</v>
      </c>
      <c r="C10" s="12">
        <v>13</v>
      </c>
      <c r="D10" s="8">
        <v>1.27</v>
      </c>
      <c r="E10" s="12">
        <v>1</v>
      </c>
      <c r="F10" s="8">
        <v>0.2</v>
      </c>
      <c r="G10" s="12">
        <v>12</v>
      </c>
      <c r="H10" s="8">
        <v>2.33</v>
      </c>
      <c r="I10" s="12">
        <v>0</v>
      </c>
    </row>
    <row r="11" spans="2:9" ht="15" customHeight="1" x14ac:dyDescent="0.2">
      <c r="B11" t="s">
        <v>71</v>
      </c>
      <c r="C11" s="12">
        <v>164</v>
      </c>
      <c r="D11" s="8">
        <v>16.05</v>
      </c>
      <c r="E11" s="12">
        <v>62</v>
      </c>
      <c r="F11" s="8">
        <v>12.35</v>
      </c>
      <c r="G11" s="12">
        <v>102</v>
      </c>
      <c r="H11" s="8">
        <v>19.77</v>
      </c>
      <c r="I11" s="12">
        <v>0</v>
      </c>
    </row>
    <row r="12" spans="2:9" ht="15" customHeight="1" x14ac:dyDescent="0.2">
      <c r="B12" t="s">
        <v>72</v>
      </c>
      <c r="C12" s="12">
        <v>5</v>
      </c>
      <c r="D12" s="8">
        <v>0.49</v>
      </c>
      <c r="E12" s="12">
        <v>1</v>
      </c>
      <c r="F12" s="8">
        <v>0.2</v>
      </c>
      <c r="G12" s="12">
        <v>4</v>
      </c>
      <c r="H12" s="8">
        <v>0.78</v>
      </c>
      <c r="I12" s="12">
        <v>0</v>
      </c>
    </row>
    <row r="13" spans="2:9" ht="15" customHeight="1" x14ac:dyDescent="0.2">
      <c r="B13" t="s">
        <v>73</v>
      </c>
      <c r="C13" s="12">
        <v>105</v>
      </c>
      <c r="D13" s="8">
        <v>10.27</v>
      </c>
      <c r="E13" s="12">
        <v>8</v>
      </c>
      <c r="F13" s="8">
        <v>1.59</v>
      </c>
      <c r="G13" s="12">
        <v>97</v>
      </c>
      <c r="H13" s="8">
        <v>18.8</v>
      </c>
      <c r="I13" s="12">
        <v>0</v>
      </c>
    </row>
    <row r="14" spans="2:9" ht="15" customHeight="1" x14ac:dyDescent="0.2">
      <c r="B14" t="s">
        <v>74</v>
      </c>
      <c r="C14" s="12">
        <v>49</v>
      </c>
      <c r="D14" s="8">
        <v>4.79</v>
      </c>
      <c r="E14" s="12">
        <v>28</v>
      </c>
      <c r="F14" s="8">
        <v>5.58</v>
      </c>
      <c r="G14" s="12">
        <v>21</v>
      </c>
      <c r="H14" s="8">
        <v>4.07</v>
      </c>
      <c r="I14" s="12">
        <v>0</v>
      </c>
    </row>
    <row r="15" spans="2:9" ht="15" customHeight="1" x14ac:dyDescent="0.2">
      <c r="B15" t="s">
        <v>75</v>
      </c>
      <c r="C15" s="12">
        <v>209</v>
      </c>
      <c r="D15" s="8">
        <v>20.45</v>
      </c>
      <c r="E15" s="12">
        <v>170</v>
      </c>
      <c r="F15" s="8">
        <v>33.86</v>
      </c>
      <c r="G15" s="12">
        <v>39</v>
      </c>
      <c r="H15" s="8">
        <v>7.56</v>
      </c>
      <c r="I15" s="12">
        <v>0</v>
      </c>
    </row>
    <row r="16" spans="2:9" ht="15" customHeight="1" x14ac:dyDescent="0.2">
      <c r="B16" t="s">
        <v>76</v>
      </c>
      <c r="C16" s="12">
        <v>145</v>
      </c>
      <c r="D16" s="8">
        <v>14.19</v>
      </c>
      <c r="E16" s="12">
        <v>110</v>
      </c>
      <c r="F16" s="8">
        <v>21.91</v>
      </c>
      <c r="G16" s="12">
        <v>35</v>
      </c>
      <c r="H16" s="8">
        <v>6.78</v>
      </c>
      <c r="I16" s="12">
        <v>0</v>
      </c>
    </row>
    <row r="17" spans="2:9" ht="15" customHeight="1" x14ac:dyDescent="0.2">
      <c r="B17" t="s">
        <v>77</v>
      </c>
      <c r="C17" s="12">
        <v>43</v>
      </c>
      <c r="D17" s="8">
        <v>4.21</v>
      </c>
      <c r="E17" s="12">
        <v>33</v>
      </c>
      <c r="F17" s="8">
        <v>6.57</v>
      </c>
      <c r="G17" s="12">
        <v>10</v>
      </c>
      <c r="H17" s="8">
        <v>1.94</v>
      </c>
      <c r="I17" s="12">
        <v>0</v>
      </c>
    </row>
    <row r="18" spans="2:9" ht="15" customHeight="1" x14ac:dyDescent="0.2">
      <c r="B18" t="s">
        <v>78</v>
      </c>
      <c r="C18" s="12">
        <v>58</v>
      </c>
      <c r="D18" s="8">
        <v>5.68</v>
      </c>
      <c r="E18" s="12">
        <v>39</v>
      </c>
      <c r="F18" s="8">
        <v>7.77</v>
      </c>
      <c r="G18" s="12">
        <v>17</v>
      </c>
      <c r="H18" s="8">
        <v>3.29</v>
      </c>
      <c r="I18" s="12">
        <v>0</v>
      </c>
    </row>
    <row r="19" spans="2:9" ht="15" customHeight="1" x14ac:dyDescent="0.2">
      <c r="B19" t="s">
        <v>79</v>
      </c>
      <c r="C19" s="12">
        <v>28</v>
      </c>
      <c r="D19" s="8">
        <v>2.74</v>
      </c>
      <c r="E19" s="12">
        <v>8</v>
      </c>
      <c r="F19" s="8">
        <v>1.59</v>
      </c>
      <c r="G19" s="12">
        <v>19</v>
      </c>
      <c r="H19" s="8">
        <v>3.68</v>
      </c>
      <c r="I19" s="12">
        <v>0</v>
      </c>
    </row>
    <row r="20" spans="2:9" ht="15" customHeight="1" x14ac:dyDescent="0.2">
      <c r="B20" s="9" t="s">
        <v>280</v>
      </c>
      <c r="C20" s="12">
        <f>SUM(LTBL_13227[総数／事業所数])</f>
        <v>1022</v>
      </c>
      <c r="E20" s="12">
        <f>SUBTOTAL(109,LTBL_13227[個人／事業所数])</f>
        <v>502</v>
      </c>
      <c r="G20" s="12">
        <f>SUBTOTAL(109,LTBL_13227[法人／事業所数])</f>
        <v>516</v>
      </c>
      <c r="I20" s="12">
        <f>SUBTOTAL(109,LTBL_13227[法人以外の団体／事業所数])</f>
        <v>0</v>
      </c>
    </row>
    <row r="21" spans="2:9" ht="15" customHeight="1" x14ac:dyDescent="0.2">
      <c r="E21" s="11">
        <f>LTBL_13227[[#Totals],[個人／事業所数]]/LTBL_13227[[#Totals],[総数／事業所数]]</f>
        <v>0.49119373776908021</v>
      </c>
      <c r="G21" s="11">
        <f>LTBL_13227[[#Totals],[法人／事業所数]]/LTBL_13227[[#Totals],[総数／事業所数]]</f>
        <v>0.50489236790606651</v>
      </c>
      <c r="I21" s="11">
        <f>LTBL_13227[[#Totals],[法人以外の団体／事業所数]]/LTBL_13227[[#Totals],[総数／事業所数]]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196</v>
      </c>
      <c r="D24" s="8">
        <v>19.18</v>
      </c>
      <c r="E24" s="12">
        <v>168</v>
      </c>
      <c r="F24" s="8">
        <v>33.47</v>
      </c>
      <c r="G24" s="12">
        <v>28</v>
      </c>
      <c r="H24" s="8">
        <v>5.43</v>
      </c>
      <c r="I24" s="12">
        <v>0</v>
      </c>
    </row>
    <row r="25" spans="2:9" ht="15" customHeight="1" x14ac:dyDescent="0.2">
      <c r="B25" t="s">
        <v>104</v>
      </c>
      <c r="C25" s="12">
        <v>125</v>
      </c>
      <c r="D25" s="8">
        <v>12.23</v>
      </c>
      <c r="E25" s="12">
        <v>99</v>
      </c>
      <c r="F25" s="8">
        <v>19.72</v>
      </c>
      <c r="G25" s="12">
        <v>26</v>
      </c>
      <c r="H25" s="8">
        <v>5.04</v>
      </c>
      <c r="I25" s="12">
        <v>0</v>
      </c>
    </row>
    <row r="26" spans="2:9" ht="15" customHeight="1" x14ac:dyDescent="0.2">
      <c r="B26" t="s">
        <v>100</v>
      </c>
      <c r="C26" s="12">
        <v>76</v>
      </c>
      <c r="D26" s="8">
        <v>7.44</v>
      </c>
      <c r="E26" s="12">
        <v>8</v>
      </c>
      <c r="F26" s="8">
        <v>1.59</v>
      </c>
      <c r="G26" s="12">
        <v>68</v>
      </c>
      <c r="H26" s="8">
        <v>13.18</v>
      </c>
      <c r="I26" s="12">
        <v>0</v>
      </c>
    </row>
    <row r="27" spans="2:9" ht="15" customHeight="1" x14ac:dyDescent="0.2">
      <c r="B27" t="s">
        <v>88</v>
      </c>
      <c r="C27" s="12">
        <v>50</v>
      </c>
      <c r="D27" s="8">
        <v>4.8899999999999997</v>
      </c>
      <c r="E27" s="12">
        <v>8</v>
      </c>
      <c r="F27" s="8">
        <v>1.59</v>
      </c>
      <c r="G27" s="12">
        <v>42</v>
      </c>
      <c r="H27" s="8">
        <v>8.14</v>
      </c>
      <c r="I27" s="12">
        <v>0</v>
      </c>
    </row>
    <row r="28" spans="2:9" ht="15" customHeight="1" x14ac:dyDescent="0.2">
      <c r="B28" t="s">
        <v>89</v>
      </c>
      <c r="C28" s="12">
        <v>46</v>
      </c>
      <c r="D28" s="8">
        <v>4.5</v>
      </c>
      <c r="E28" s="12">
        <v>11</v>
      </c>
      <c r="F28" s="8">
        <v>2.19</v>
      </c>
      <c r="G28" s="12">
        <v>35</v>
      </c>
      <c r="H28" s="8">
        <v>6.78</v>
      </c>
      <c r="I28" s="12">
        <v>0</v>
      </c>
    </row>
    <row r="29" spans="2:9" ht="15" customHeight="1" x14ac:dyDescent="0.2">
      <c r="B29" t="s">
        <v>105</v>
      </c>
      <c r="C29" s="12">
        <v>43</v>
      </c>
      <c r="D29" s="8">
        <v>4.21</v>
      </c>
      <c r="E29" s="12">
        <v>33</v>
      </c>
      <c r="F29" s="8">
        <v>6.57</v>
      </c>
      <c r="G29" s="12">
        <v>10</v>
      </c>
      <c r="H29" s="8">
        <v>1.94</v>
      </c>
      <c r="I29" s="12">
        <v>0</v>
      </c>
    </row>
    <row r="30" spans="2:9" ht="15" customHeight="1" x14ac:dyDescent="0.2">
      <c r="B30" t="s">
        <v>106</v>
      </c>
      <c r="C30" s="12">
        <v>43</v>
      </c>
      <c r="D30" s="8">
        <v>4.21</v>
      </c>
      <c r="E30" s="12">
        <v>38</v>
      </c>
      <c r="F30" s="8">
        <v>7.57</v>
      </c>
      <c r="G30" s="12">
        <v>5</v>
      </c>
      <c r="H30" s="8">
        <v>0.97</v>
      </c>
      <c r="I30" s="12">
        <v>0</v>
      </c>
    </row>
    <row r="31" spans="2:9" ht="15" customHeight="1" x14ac:dyDescent="0.2">
      <c r="B31" t="s">
        <v>98</v>
      </c>
      <c r="C31" s="12">
        <v>42</v>
      </c>
      <c r="D31" s="8">
        <v>4.1100000000000003</v>
      </c>
      <c r="E31" s="12">
        <v>15</v>
      </c>
      <c r="F31" s="8">
        <v>2.99</v>
      </c>
      <c r="G31" s="12">
        <v>27</v>
      </c>
      <c r="H31" s="8">
        <v>5.23</v>
      </c>
      <c r="I31" s="12">
        <v>0</v>
      </c>
    </row>
    <row r="32" spans="2:9" ht="15" customHeight="1" x14ac:dyDescent="0.2">
      <c r="B32" t="s">
        <v>96</v>
      </c>
      <c r="C32" s="12">
        <v>32</v>
      </c>
      <c r="D32" s="8">
        <v>3.13</v>
      </c>
      <c r="E32" s="12">
        <v>22</v>
      </c>
      <c r="F32" s="8">
        <v>4.38</v>
      </c>
      <c r="G32" s="12">
        <v>10</v>
      </c>
      <c r="H32" s="8">
        <v>1.94</v>
      </c>
      <c r="I32" s="12">
        <v>0</v>
      </c>
    </row>
    <row r="33" spans="2:9" ht="15" customHeight="1" x14ac:dyDescent="0.2">
      <c r="B33" t="s">
        <v>97</v>
      </c>
      <c r="C33" s="12">
        <v>31</v>
      </c>
      <c r="D33" s="8">
        <v>3.03</v>
      </c>
      <c r="E33" s="12">
        <v>16</v>
      </c>
      <c r="F33" s="8">
        <v>3.19</v>
      </c>
      <c r="G33" s="12">
        <v>15</v>
      </c>
      <c r="H33" s="8">
        <v>2.91</v>
      </c>
      <c r="I33" s="12">
        <v>0</v>
      </c>
    </row>
    <row r="34" spans="2:9" ht="15" customHeight="1" x14ac:dyDescent="0.2">
      <c r="B34" t="s">
        <v>99</v>
      </c>
      <c r="C34" s="12">
        <v>28</v>
      </c>
      <c r="D34" s="8">
        <v>2.74</v>
      </c>
      <c r="E34" s="12">
        <v>0</v>
      </c>
      <c r="F34" s="8">
        <v>0</v>
      </c>
      <c r="G34" s="12">
        <v>28</v>
      </c>
      <c r="H34" s="8">
        <v>5.43</v>
      </c>
      <c r="I34" s="12">
        <v>0</v>
      </c>
    </row>
    <row r="35" spans="2:9" ht="15" customHeight="1" x14ac:dyDescent="0.2">
      <c r="B35" t="s">
        <v>101</v>
      </c>
      <c r="C35" s="12">
        <v>28</v>
      </c>
      <c r="D35" s="8">
        <v>2.74</v>
      </c>
      <c r="E35" s="12">
        <v>18</v>
      </c>
      <c r="F35" s="8">
        <v>3.59</v>
      </c>
      <c r="G35" s="12">
        <v>10</v>
      </c>
      <c r="H35" s="8">
        <v>1.94</v>
      </c>
      <c r="I35" s="12">
        <v>0</v>
      </c>
    </row>
    <row r="36" spans="2:9" ht="15" customHeight="1" x14ac:dyDescent="0.2">
      <c r="B36" t="s">
        <v>90</v>
      </c>
      <c r="C36" s="12">
        <v>24</v>
      </c>
      <c r="D36" s="8">
        <v>2.35</v>
      </c>
      <c r="E36" s="12">
        <v>8</v>
      </c>
      <c r="F36" s="8">
        <v>1.59</v>
      </c>
      <c r="G36" s="12">
        <v>16</v>
      </c>
      <c r="H36" s="8">
        <v>3.1</v>
      </c>
      <c r="I36" s="12">
        <v>0</v>
      </c>
    </row>
    <row r="37" spans="2:9" ht="15" customHeight="1" x14ac:dyDescent="0.2">
      <c r="B37" t="s">
        <v>102</v>
      </c>
      <c r="C37" s="12">
        <v>18</v>
      </c>
      <c r="D37" s="8">
        <v>1.76</v>
      </c>
      <c r="E37" s="12">
        <v>10</v>
      </c>
      <c r="F37" s="8">
        <v>1.99</v>
      </c>
      <c r="G37" s="12">
        <v>8</v>
      </c>
      <c r="H37" s="8">
        <v>1.55</v>
      </c>
      <c r="I37" s="12">
        <v>0</v>
      </c>
    </row>
    <row r="38" spans="2:9" ht="15" customHeight="1" x14ac:dyDescent="0.2">
      <c r="B38" t="s">
        <v>121</v>
      </c>
      <c r="C38" s="12">
        <v>15</v>
      </c>
      <c r="D38" s="8">
        <v>1.47</v>
      </c>
      <c r="E38" s="12">
        <v>2</v>
      </c>
      <c r="F38" s="8">
        <v>0.4</v>
      </c>
      <c r="G38" s="12">
        <v>13</v>
      </c>
      <c r="H38" s="8">
        <v>2.52</v>
      </c>
      <c r="I38" s="12">
        <v>0</v>
      </c>
    </row>
    <row r="39" spans="2:9" ht="15" customHeight="1" x14ac:dyDescent="0.2">
      <c r="B39" t="s">
        <v>93</v>
      </c>
      <c r="C39" s="12">
        <v>15</v>
      </c>
      <c r="D39" s="8">
        <v>1.47</v>
      </c>
      <c r="E39" s="12">
        <v>0</v>
      </c>
      <c r="F39" s="8">
        <v>0</v>
      </c>
      <c r="G39" s="12">
        <v>15</v>
      </c>
      <c r="H39" s="8">
        <v>2.91</v>
      </c>
      <c r="I39" s="12">
        <v>0</v>
      </c>
    </row>
    <row r="40" spans="2:9" ht="15" customHeight="1" x14ac:dyDescent="0.2">
      <c r="B40" t="s">
        <v>132</v>
      </c>
      <c r="C40" s="12">
        <v>15</v>
      </c>
      <c r="D40" s="8">
        <v>1.47</v>
      </c>
      <c r="E40" s="12">
        <v>1</v>
      </c>
      <c r="F40" s="8">
        <v>0.2</v>
      </c>
      <c r="G40" s="12">
        <v>12</v>
      </c>
      <c r="H40" s="8">
        <v>2.33</v>
      </c>
      <c r="I40" s="12">
        <v>0</v>
      </c>
    </row>
    <row r="41" spans="2:9" ht="15" customHeight="1" x14ac:dyDescent="0.2">
      <c r="B41" t="s">
        <v>115</v>
      </c>
      <c r="C41" s="12">
        <v>12</v>
      </c>
      <c r="D41" s="8">
        <v>1.17</v>
      </c>
      <c r="E41" s="12">
        <v>5</v>
      </c>
      <c r="F41" s="8">
        <v>1</v>
      </c>
      <c r="G41" s="12">
        <v>7</v>
      </c>
      <c r="H41" s="8">
        <v>1.36</v>
      </c>
      <c r="I41" s="12">
        <v>0</v>
      </c>
    </row>
    <row r="42" spans="2:9" ht="15" customHeight="1" x14ac:dyDescent="0.2">
      <c r="B42" t="s">
        <v>133</v>
      </c>
      <c r="C42" s="12">
        <v>12</v>
      </c>
      <c r="D42" s="8">
        <v>1.17</v>
      </c>
      <c r="E42" s="12">
        <v>7</v>
      </c>
      <c r="F42" s="8">
        <v>1.39</v>
      </c>
      <c r="G42" s="12">
        <v>5</v>
      </c>
      <c r="H42" s="8">
        <v>0.97</v>
      </c>
      <c r="I42" s="12">
        <v>0</v>
      </c>
    </row>
    <row r="43" spans="2:9" ht="15" customHeight="1" x14ac:dyDescent="0.2">
      <c r="B43" t="s">
        <v>119</v>
      </c>
      <c r="C43" s="12">
        <v>10</v>
      </c>
      <c r="D43" s="8">
        <v>0.98</v>
      </c>
      <c r="E43" s="12">
        <v>3</v>
      </c>
      <c r="F43" s="8">
        <v>0.6</v>
      </c>
      <c r="G43" s="12">
        <v>7</v>
      </c>
      <c r="H43" s="8">
        <v>1.36</v>
      </c>
      <c r="I43" s="12">
        <v>0</v>
      </c>
    </row>
    <row r="44" spans="2:9" ht="15" customHeight="1" x14ac:dyDescent="0.2">
      <c r="B44" t="s">
        <v>91</v>
      </c>
      <c r="C44" s="12">
        <v>10</v>
      </c>
      <c r="D44" s="8">
        <v>0.98</v>
      </c>
      <c r="E44" s="12">
        <v>0</v>
      </c>
      <c r="F44" s="8">
        <v>0</v>
      </c>
      <c r="G44" s="12">
        <v>10</v>
      </c>
      <c r="H44" s="8">
        <v>1.94</v>
      </c>
      <c r="I44" s="12">
        <v>0</v>
      </c>
    </row>
    <row r="45" spans="2:9" ht="15" customHeight="1" x14ac:dyDescent="0.2">
      <c r="B45" t="s">
        <v>128</v>
      </c>
      <c r="C45" s="12">
        <v>10</v>
      </c>
      <c r="D45" s="8">
        <v>0.98</v>
      </c>
      <c r="E45" s="12">
        <v>1</v>
      </c>
      <c r="F45" s="8">
        <v>0.2</v>
      </c>
      <c r="G45" s="12">
        <v>9</v>
      </c>
      <c r="H45" s="8">
        <v>1.74</v>
      </c>
      <c r="I45" s="12">
        <v>0</v>
      </c>
    </row>
    <row r="46" spans="2:9" ht="15" customHeight="1" x14ac:dyDescent="0.2">
      <c r="B46" t="s">
        <v>110</v>
      </c>
      <c r="C46" s="12">
        <v>10</v>
      </c>
      <c r="D46" s="8">
        <v>0.98</v>
      </c>
      <c r="E46" s="12">
        <v>2</v>
      </c>
      <c r="F46" s="8">
        <v>0.4</v>
      </c>
      <c r="G46" s="12">
        <v>8</v>
      </c>
      <c r="H46" s="8">
        <v>1.55</v>
      </c>
      <c r="I46" s="12">
        <v>0</v>
      </c>
    </row>
    <row r="47" spans="2:9" ht="15" customHeight="1" x14ac:dyDescent="0.2">
      <c r="B47" t="s">
        <v>130</v>
      </c>
      <c r="C47" s="12">
        <v>10</v>
      </c>
      <c r="D47" s="8">
        <v>0.98</v>
      </c>
      <c r="E47" s="12">
        <v>2</v>
      </c>
      <c r="F47" s="8">
        <v>0.4</v>
      </c>
      <c r="G47" s="12">
        <v>8</v>
      </c>
      <c r="H47" s="8">
        <v>1.55</v>
      </c>
      <c r="I47" s="12">
        <v>0</v>
      </c>
    </row>
    <row r="50" spans="2:9" ht="33" customHeight="1" x14ac:dyDescent="0.2">
      <c r="B50" t="s">
        <v>282</v>
      </c>
      <c r="C50" s="10" t="s">
        <v>81</v>
      </c>
      <c r="D50" s="10" t="s">
        <v>82</v>
      </c>
      <c r="E50" s="10" t="s">
        <v>83</v>
      </c>
      <c r="F50" s="10" t="s">
        <v>84</v>
      </c>
      <c r="G50" s="10" t="s">
        <v>85</v>
      </c>
      <c r="H50" s="10" t="s">
        <v>86</v>
      </c>
      <c r="I50" s="10" t="s">
        <v>87</v>
      </c>
    </row>
    <row r="51" spans="2:9" ht="15" customHeight="1" x14ac:dyDescent="0.2">
      <c r="B51" t="s">
        <v>169</v>
      </c>
      <c r="C51" s="12">
        <v>65</v>
      </c>
      <c r="D51" s="8">
        <v>6.36</v>
      </c>
      <c r="E51" s="12">
        <v>58</v>
      </c>
      <c r="F51" s="8">
        <v>11.55</v>
      </c>
      <c r="G51" s="12">
        <v>7</v>
      </c>
      <c r="H51" s="8">
        <v>1.36</v>
      </c>
      <c r="I51" s="12">
        <v>0</v>
      </c>
    </row>
    <row r="52" spans="2:9" ht="15" customHeight="1" x14ac:dyDescent="0.2">
      <c r="B52" t="s">
        <v>172</v>
      </c>
      <c r="C52" s="12">
        <v>56</v>
      </c>
      <c r="D52" s="8">
        <v>5.48</v>
      </c>
      <c r="E52" s="12">
        <v>50</v>
      </c>
      <c r="F52" s="8">
        <v>9.9600000000000009</v>
      </c>
      <c r="G52" s="12">
        <v>6</v>
      </c>
      <c r="H52" s="8">
        <v>1.1599999999999999</v>
      </c>
      <c r="I52" s="12">
        <v>0</v>
      </c>
    </row>
    <row r="53" spans="2:9" ht="15" customHeight="1" x14ac:dyDescent="0.2">
      <c r="B53" t="s">
        <v>170</v>
      </c>
      <c r="C53" s="12">
        <v>51</v>
      </c>
      <c r="D53" s="8">
        <v>4.99</v>
      </c>
      <c r="E53" s="12">
        <v>48</v>
      </c>
      <c r="F53" s="8">
        <v>9.56</v>
      </c>
      <c r="G53" s="12">
        <v>3</v>
      </c>
      <c r="H53" s="8">
        <v>0.57999999999999996</v>
      </c>
      <c r="I53" s="12">
        <v>0</v>
      </c>
    </row>
    <row r="54" spans="2:9" ht="15" customHeight="1" x14ac:dyDescent="0.2">
      <c r="B54" t="s">
        <v>168</v>
      </c>
      <c r="C54" s="12">
        <v>48</v>
      </c>
      <c r="D54" s="8">
        <v>4.7</v>
      </c>
      <c r="E54" s="12">
        <v>40</v>
      </c>
      <c r="F54" s="8">
        <v>7.97</v>
      </c>
      <c r="G54" s="12">
        <v>8</v>
      </c>
      <c r="H54" s="8">
        <v>1.55</v>
      </c>
      <c r="I54" s="12">
        <v>0</v>
      </c>
    </row>
    <row r="55" spans="2:9" ht="15" customHeight="1" x14ac:dyDescent="0.2">
      <c r="B55" t="s">
        <v>171</v>
      </c>
      <c r="C55" s="12">
        <v>40</v>
      </c>
      <c r="D55" s="8">
        <v>3.91</v>
      </c>
      <c r="E55" s="12">
        <v>36</v>
      </c>
      <c r="F55" s="8">
        <v>7.17</v>
      </c>
      <c r="G55" s="12">
        <v>4</v>
      </c>
      <c r="H55" s="8">
        <v>0.78</v>
      </c>
      <c r="I55" s="12">
        <v>0</v>
      </c>
    </row>
    <row r="56" spans="2:9" ht="15" customHeight="1" x14ac:dyDescent="0.2">
      <c r="B56" t="s">
        <v>161</v>
      </c>
      <c r="C56" s="12">
        <v>30</v>
      </c>
      <c r="D56" s="8">
        <v>2.94</v>
      </c>
      <c r="E56" s="12">
        <v>1</v>
      </c>
      <c r="F56" s="8">
        <v>0.2</v>
      </c>
      <c r="G56" s="12">
        <v>29</v>
      </c>
      <c r="H56" s="8">
        <v>5.62</v>
      </c>
      <c r="I56" s="12">
        <v>0</v>
      </c>
    </row>
    <row r="57" spans="2:9" ht="15" customHeight="1" x14ac:dyDescent="0.2">
      <c r="B57" t="s">
        <v>175</v>
      </c>
      <c r="C57" s="12">
        <v>30</v>
      </c>
      <c r="D57" s="8">
        <v>2.94</v>
      </c>
      <c r="E57" s="12">
        <v>27</v>
      </c>
      <c r="F57" s="8">
        <v>5.38</v>
      </c>
      <c r="G57" s="12">
        <v>3</v>
      </c>
      <c r="H57" s="8">
        <v>0.57999999999999996</v>
      </c>
      <c r="I57" s="12">
        <v>0</v>
      </c>
    </row>
    <row r="58" spans="2:9" ht="15" customHeight="1" x14ac:dyDescent="0.2">
      <c r="B58" t="s">
        <v>173</v>
      </c>
      <c r="C58" s="12">
        <v>29</v>
      </c>
      <c r="D58" s="8">
        <v>2.84</v>
      </c>
      <c r="E58" s="12">
        <v>25</v>
      </c>
      <c r="F58" s="8">
        <v>4.9800000000000004</v>
      </c>
      <c r="G58" s="12">
        <v>4</v>
      </c>
      <c r="H58" s="8">
        <v>0.78</v>
      </c>
      <c r="I58" s="12">
        <v>0</v>
      </c>
    </row>
    <row r="59" spans="2:9" ht="15" customHeight="1" x14ac:dyDescent="0.2">
      <c r="B59" t="s">
        <v>162</v>
      </c>
      <c r="C59" s="12">
        <v>28</v>
      </c>
      <c r="D59" s="8">
        <v>2.74</v>
      </c>
      <c r="E59" s="12">
        <v>6</v>
      </c>
      <c r="F59" s="8">
        <v>1.2</v>
      </c>
      <c r="G59" s="12">
        <v>22</v>
      </c>
      <c r="H59" s="8">
        <v>4.26</v>
      </c>
      <c r="I59" s="12">
        <v>0</v>
      </c>
    </row>
    <row r="60" spans="2:9" ht="15" customHeight="1" x14ac:dyDescent="0.2">
      <c r="B60" t="s">
        <v>197</v>
      </c>
      <c r="C60" s="12">
        <v>20</v>
      </c>
      <c r="D60" s="8">
        <v>1.96</v>
      </c>
      <c r="E60" s="12">
        <v>8</v>
      </c>
      <c r="F60" s="8">
        <v>1.59</v>
      </c>
      <c r="G60" s="12">
        <v>12</v>
      </c>
      <c r="H60" s="8">
        <v>2.33</v>
      </c>
      <c r="I60" s="12">
        <v>0</v>
      </c>
    </row>
    <row r="61" spans="2:9" ht="15" customHeight="1" x14ac:dyDescent="0.2">
      <c r="B61" t="s">
        <v>160</v>
      </c>
      <c r="C61" s="12">
        <v>19</v>
      </c>
      <c r="D61" s="8">
        <v>1.86</v>
      </c>
      <c r="E61" s="12">
        <v>0</v>
      </c>
      <c r="F61" s="8">
        <v>0</v>
      </c>
      <c r="G61" s="12">
        <v>19</v>
      </c>
      <c r="H61" s="8">
        <v>3.68</v>
      </c>
      <c r="I61" s="12">
        <v>0</v>
      </c>
    </row>
    <row r="62" spans="2:9" ht="15" customHeight="1" x14ac:dyDescent="0.2">
      <c r="B62" t="s">
        <v>206</v>
      </c>
      <c r="C62" s="12">
        <v>17</v>
      </c>
      <c r="D62" s="8">
        <v>1.66</v>
      </c>
      <c r="E62" s="12">
        <v>3</v>
      </c>
      <c r="F62" s="8">
        <v>0.6</v>
      </c>
      <c r="G62" s="12">
        <v>14</v>
      </c>
      <c r="H62" s="8">
        <v>2.71</v>
      </c>
      <c r="I62" s="12">
        <v>0</v>
      </c>
    </row>
    <row r="63" spans="2:9" ht="15" customHeight="1" x14ac:dyDescent="0.2">
      <c r="B63" t="s">
        <v>221</v>
      </c>
      <c r="C63" s="12">
        <v>17</v>
      </c>
      <c r="D63" s="8">
        <v>1.66</v>
      </c>
      <c r="E63" s="12">
        <v>5</v>
      </c>
      <c r="F63" s="8">
        <v>1</v>
      </c>
      <c r="G63" s="12">
        <v>12</v>
      </c>
      <c r="H63" s="8">
        <v>2.33</v>
      </c>
      <c r="I63" s="12">
        <v>0</v>
      </c>
    </row>
    <row r="64" spans="2:9" ht="15" customHeight="1" x14ac:dyDescent="0.2">
      <c r="B64" t="s">
        <v>200</v>
      </c>
      <c r="C64" s="12">
        <v>15</v>
      </c>
      <c r="D64" s="8">
        <v>1.47</v>
      </c>
      <c r="E64" s="12">
        <v>1</v>
      </c>
      <c r="F64" s="8">
        <v>0.2</v>
      </c>
      <c r="G64" s="12">
        <v>14</v>
      </c>
      <c r="H64" s="8">
        <v>2.71</v>
      </c>
      <c r="I64" s="12">
        <v>0</v>
      </c>
    </row>
    <row r="65" spans="2:9" ht="15" customHeight="1" x14ac:dyDescent="0.2">
      <c r="B65" t="s">
        <v>158</v>
      </c>
      <c r="C65" s="12">
        <v>15</v>
      </c>
      <c r="D65" s="8">
        <v>1.47</v>
      </c>
      <c r="E65" s="12">
        <v>8</v>
      </c>
      <c r="F65" s="8">
        <v>1.59</v>
      </c>
      <c r="G65" s="12">
        <v>7</v>
      </c>
      <c r="H65" s="8">
        <v>1.36</v>
      </c>
      <c r="I65" s="12">
        <v>0</v>
      </c>
    </row>
    <row r="66" spans="2:9" ht="15" customHeight="1" x14ac:dyDescent="0.2">
      <c r="B66" t="s">
        <v>201</v>
      </c>
      <c r="C66" s="12">
        <v>13</v>
      </c>
      <c r="D66" s="8">
        <v>1.27</v>
      </c>
      <c r="E66" s="12">
        <v>4</v>
      </c>
      <c r="F66" s="8">
        <v>0.8</v>
      </c>
      <c r="G66" s="12">
        <v>9</v>
      </c>
      <c r="H66" s="8">
        <v>1.74</v>
      </c>
      <c r="I66" s="12">
        <v>0</v>
      </c>
    </row>
    <row r="67" spans="2:9" ht="15" customHeight="1" x14ac:dyDescent="0.2">
      <c r="B67" t="s">
        <v>163</v>
      </c>
      <c r="C67" s="12">
        <v>13</v>
      </c>
      <c r="D67" s="8">
        <v>1.27</v>
      </c>
      <c r="E67" s="12">
        <v>0</v>
      </c>
      <c r="F67" s="8">
        <v>0</v>
      </c>
      <c r="G67" s="12">
        <v>13</v>
      </c>
      <c r="H67" s="8">
        <v>2.52</v>
      </c>
      <c r="I67" s="12">
        <v>0</v>
      </c>
    </row>
    <row r="68" spans="2:9" ht="15" customHeight="1" x14ac:dyDescent="0.2">
      <c r="B68" t="s">
        <v>225</v>
      </c>
      <c r="C68" s="12">
        <v>13</v>
      </c>
      <c r="D68" s="8">
        <v>1.27</v>
      </c>
      <c r="E68" s="12">
        <v>8</v>
      </c>
      <c r="F68" s="8">
        <v>1.59</v>
      </c>
      <c r="G68" s="12">
        <v>5</v>
      </c>
      <c r="H68" s="8">
        <v>0.97</v>
      </c>
      <c r="I68" s="12">
        <v>0</v>
      </c>
    </row>
    <row r="69" spans="2:9" ht="15" customHeight="1" x14ac:dyDescent="0.2">
      <c r="B69" t="s">
        <v>159</v>
      </c>
      <c r="C69" s="12">
        <v>12</v>
      </c>
      <c r="D69" s="8">
        <v>1.17</v>
      </c>
      <c r="E69" s="12">
        <v>5</v>
      </c>
      <c r="F69" s="8">
        <v>1</v>
      </c>
      <c r="G69" s="12">
        <v>7</v>
      </c>
      <c r="H69" s="8">
        <v>1.36</v>
      </c>
      <c r="I69" s="12">
        <v>0</v>
      </c>
    </row>
    <row r="70" spans="2:9" ht="15" customHeight="1" x14ac:dyDescent="0.2">
      <c r="B70" t="s">
        <v>224</v>
      </c>
      <c r="C70" s="12">
        <v>12</v>
      </c>
      <c r="D70" s="8">
        <v>1.17</v>
      </c>
      <c r="E70" s="12">
        <v>7</v>
      </c>
      <c r="F70" s="8">
        <v>1.39</v>
      </c>
      <c r="G70" s="12">
        <v>5</v>
      </c>
      <c r="H70" s="8">
        <v>0.97</v>
      </c>
      <c r="I70" s="12">
        <v>0</v>
      </c>
    </row>
    <row r="72" spans="2:9" ht="15" customHeight="1" x14ac:dyDescent="0.2">
      <c r="B72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81EE-59B1-4C7E-BED9-F2341B01CFA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318</v>
      </c>
      <c r="D6" s="8">
        <v>23.38</v>
      </c>
      <c r="E6" s="12">
        <v>109</v>
      </c>
      <c r="F6" s="8">
        <v>16.34</v>
      </c>
      <c r="G6" s="12">
        <v>209</v>
      </c>
      <c r="H6" s="8">
        <v>30.69</v>
      </c>
      <c r="I6" s="12">
        <v>0</v>
      </c>
    </row>
    <row r="7" spans="2:9" ht="15" customHeight="1" x14ac:dyDescent="0.2">
      <c r="B7" t="s">
        <v>67</v>
      </c>
      <c r="C7" s="12">
        <v>134</v>
      </c>
      <c r="D7" s="8">
        <v>9.85</v>
      </c>
      <c r="E7" s="12">
        <v>40</v>
      </c>
      <c r="F7" s="8">
        <v>6</v>
      </c>
      <c r="G7" s="12">
        <v>94</v>
      </c>
      <c r="H7" s="8">
        <v>13.8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10</v>
      </c>
      <c r="D9" s="8">
        <v>0.74</v>
      </c>
      <c r="E9" s="12">
        <v>0</v>
      </c>
      <c r="F9" s="8">
        <v>0</v>
      </c>
      <c r="G9" s="12">
        <v>10</v>
      </c>
      <c r="H9" s="8">
        <v>1.47</v>
      </c>
      <c r="I9" s="12">
        <v>0</v>
      </c>
    </row>
    <row r="10" spans="2:9" ht="15" customHeight="1" x14ac:dyDescent="0.2">
      <c r="B10" t="s">
        <v>70</v>
      </c>
      <c r="C10" s="12">
        <v>10</v>
      </c>
      <c r="D10" s="8">
        <v>0.74</v>
      </c>
      <c r="E10" s="12">
        <v>2</v>
      </c>
      <c r="F10" s="8">
        <v>0.3</v>
      </c>
      <c r="G10" s="12">
        <v>8</v>
      </c>
      <c r="H10" s="8">
        <v>1.17</v>
      </c>
      <c r="I10" s="12">
        <v>0</v>
      </c>
    </row>
    <row r="11" spans="2:9" ht="15" customHeight="1" x14ac:dyDescent="0.2">
      <c r="B11" t="s">
        <v>71</v>
      </c>
      <c r="C11" s="12">
        <v>288</v>
      </c>
      <c r="D11" s="8">
        <v>21.18</v>
      </c>
      <c r="E11" s="12">
        <v>149</v>
      </c>
      <c r="F11" s="8">
        <v>22.34</v>
      </c>
      <c r="G11" s="12">
        <v>139</v>
      </c>
      <c r="H11" s="8">
        <v>20.41</v>
      </c>
      <c r="I11" s="12">
        <v>0</v>
      </c>
    </row>
    <row r="12" spans="2:9" ht="15" customHeight="1" x14ac:dyDescent="0.2">
      <c r="B12" t="s">
        <v>72</v>
      </c>
      <c r="C12" s="12">
        <v>12</v>
      </c>
      <c r="D12" s="8">
        <v>0.88</v>
      </c>
      <c r="E12" s="12">
        <v>3</v>
      </c>
      <c r="F12" s="8">
        <v>0.45</v>
      </c>
      <c r="G12" s="12">
        <v>9</v>
      </c>
      <c r="H12" s="8">
        <v>1.32</v>
      </c>
      <c r="I12" s="12">
        <v>0</v>
      </c>
    </row>
    <row r="13" spans="2:9" ht="15" customHeight="1" x14ac:dyDescent="0.2">
      <c r="B13" t="s">
        <v>73</v>
      </c>
      <c r="C13" s="12">
        <v>83</v>
      </c>
      <c r="D13" s="8">
        <v>6.1</v>
      </c>
      <c r="E13" s="12">
        <v>13</v>
      </c>
      <c r="F13" s="8">
        <v>1.95</v>
      </c>
      <c r="G13" s="12">
        <v>70</v>
      </c>
      <c r="H13" s="8">
        <v>10.28</v>
      </c>
      <c r="I13" s="12">
        <v>0</v>
      </c>
    </row>
    <row r="14" spans="2:9" ht="15" customHeight="1" x14ac:dyDescent="0.2">
      <c r="B14" t="s">
        <v>74</v>
      </c>
      <c r="C14" s="12">
        <v>68</v>
      </c>
      <c r="D14" s="8">
        <v>5</v>
      </c>
      <c r="E14" s="12">
        <v>36</v>
      </c>
      <c r="F14" s="8">
        <v>5.4</v>
      </c>
      <c r="G14" s="12">
        <v>32</v>
      </c>
      <c r="H14" s="8">
        <v>4.7</v>
      </c>
      <c r="I14" s="12">
        <v>0</v>
      </c>
    </row>
    <row r="15" spans="2:9" ht="15" customHeight="1" x14ac:dyDescent="0.2">
      <c r="B15" t="s">
        <v>75</v>
      </c>
      <c r="C15" s="12">
        <v>128</v>
      </c>
      <c r="D15" s="8">
        <v>9.41</v>
      </c>
      <c r="E15" s="12">
        <v>105</v>
      </c>
      <c r="F15" s="8">
        <v>15.74</v>
      </c>
      <c r="G15" s="12">
        <v>23</v>
      </c>
      <c r="H15" s="8">
        <v>3.38</v>
      </c>
      <c r="I15" s="12">
        <v>0</v>
      </c>
    </row>
    <row r="16" spans="2:9" ht="15" customHeight="1" x14ac:dyDescent="0.2">
      <c r="B16" t="s">
        <v>76</v>
      </c>
      <c r="C16" s="12">
        <v>157</v>
      </c>
      <c r="D16" s="8">
        <v>11.54</v>
      </c>
      <c r="E16" s="12">
        <v>131</v>
      </c>
      <c r="F16" s="8">
        <v>19.64</v>
      </c>
      <c r="G16" s="12">
        <v>25</v>
      </c>
      <c r="H16" s="8">
        <v>3.67</v>
      </c>
      <c r="I16" s="12">
        <v>0</v>
      </c>
    </row>
    <row r="17" spans="2:9" ht="15" customHeight="1" x14ac:dyDescent="0.2">
      <c r="B17" t="s">
        <v>77</v>
      </c>
      <c r="C17" s="12">
        <v>36</v>
      </c>
      <c r="D17" s="8">
        <v>2.65</v>
      </c>
      <c r="E17" s="12">
        <v>27</v>
      </c>
      <c r="F17" s="8">
        <v>4.05</v>
      </c>
      <c r="G17" s="12">
        <v>8</v>
      </c>
      <c r="H17" s="8">
        <v>1.17</v>
      </c>
      <c r="I17" s="12">
        <v>0</v>
      </c>
    </row>
    <row r="18" spans="2:9" ht="15" customHeight="1" x14ac:dyDescent="0.2">
      <c r="B18" t="s">
        <v>78</v>
      </c>
      <c r="C18" s="12">
        <v>65</v>
      </c>
      <c r="D18" s="8">
        <v>4.78</v>
      </c>
      <c r="E18" s="12">
        <v>37</v>
      </c>
      <c r="F18" s="8">
        <v>5.55</v>
      </c>
      <c r="G18" s="12">
        <v>19</v>
      </c>
      <c r="H18" s="8">
        <v>2.79</v>
      </c>
      <c r="I18" s="12">
        <v>0</v>
      </c>
    </row>
    <row r="19" spans="2:9" ht="15" customHeight="1" x14ac:dyDescent="0.2">
      <c r="B19" t="s">
        <v>79</v>
      </c>
      <c r="C19" s="12">
        <v>51</v>
      </c>
      <c r="D19" s="8">
        <v>3.75</v>
      </c>
      <c r="E19" s="12">
        <v>15</v>
      </c>
      <c r="F19" s="8">
        <v>2.25</v>
      </c>
      <c r="G19" s="12">
        <v>35</v>
      </c>
      <c r="H19" s="8">
        <v>5.14</v>
      </c>
      <c r="I19" s="12">
        <v>1</v>
      </c>
    </row>
    <row r="20" spans="2:9" ht="15" customHeight="1" x14ac:dyDescent="0.2">
      <c r="B20" s="9" t="s">
        <v>280</v>
      </c>
      <c r="C20" s="12">
        <f>SUM(LTBL_13228[総数／事業所数])</f>
        <v>1360</v>
      </c>
      <c r="E20" s="12">
        <f>SUBTOTAL(109,LTBL_13228[個人／事業所数])</f>
        <v>667</v>
      </c>
      <c r="G20" s="12">
        <f>SUBTOTAL(109,LTBL_13228[法人／事業所数])</f>
        <v>681</v>
      </c>
      <c r="I20" s="12">
        <f>SUBTOTAL(109,LTBL_13228[法人以外の団体／事業所数])</f>
        <v>1</v>
      </c>
    </row>
    <row r="21" spans="2:9" ht="15" customHeight="1" x14ac:dyDescent="0.2">
      <c r="E21" s="11">
        <f>LTBL_13228[[#Totals],[個人／事業所数]]/LTBL_13228[[#Totals],[総数／事業所数]]</f>
        <v>0.49044117647058821</v>
      </c>
      <c r="G21" s="11">
        <f>LTBL_13228[[#Totals],[法人／事業所数]]/LTBL_13228[[#Totals],[総数／事業所数]]</f>
        <v>0.50073529411764706</v>
      </c>
      <c r="I21" s="11">
        <f>LTBL_13228[[#Totals],[法人以外の団体／事業所数]]/LTBL_13228[[#Totals],[総数／事業所数]]</f>
        <v>7.3529411764705881E-4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88</v>
      </c>
      <c r="C24" s="12">
        <v>138</v>
      </c>
      <c r="D24" s="8">
        <v>10.15</v>
      </c>
      <c r="E24" s="12">
        <v>50</v>
      </c>
      <c r="F24" s="8">
        <v>7.5</v>
      </c>
      <c r="G24" s="12">
        <v>88</v>
      </c>
      <c r="H24" s="8">
        <v>12.92</v>
      </c>
      <c r="I24" s="12">
        <v>0</v>
      </c>
    </row>
    <row r="25" spans="2:9" ht="15" customHeight="1" x14ac:dyDescent="0.2">
      <c r="B25" t="s">
        <v>104</v>
      </c>
      <c r="C25" s="12">
        <v>133</v>
      </c>
      <c r="D25" s="8">
        <v>9.7799999999999994</v>
      </c>
      <c r="E25" s="12">
        <v>120</v>
      </c>
      <c r="F25" s="8">
        <v>17.989999999999998</v>
      </c>
      <c r="G25" s="12">
        <v>13</v>
      </c>
      <c r="H25" s="8">
        <v>1.91</v>
      </c>
      <c r="I25" s="12">
        <v>0</v>
      </c>
    </row>
    <row r="26" spans="2:9" ht="15" customHeight="1" x14ac:dyDescent="0.2">
      <c r="B26" t="s">
        <v>89</v>
      </c>
      <c r="C26" s="12">
        <v>115</v>
      </c>
      <c r="D26" s="8">
        <v>8.4600000000000009</v>
      </c>
      <c r="E26" s="12">
        <v>47</v>
      </c>
      <c r="F26" s="8">
        <v>7.05</v>
      </c>
      <c r="G26" s="12">
        <v>68</v>
      </c>
      <c r="H26" s="8">
        <v>9.99</v>
      </c>
      <c r="I26" s="12">
        <v>0</v>
      </c>
    </row>
    <row r="27" spans="2:9" ht="15" customHeight="1" x14ac:dyDescent="0.2">
      <c r="B27" t="s">
        <v>103</v>
      </c>
      <c r="C27" s="12">
        <v>112</v>
      </c>
      <c r="D27" s="8">
        <v>8.24</v>
      </c>
      <c r="E27" s="12">
        <v>99</v>
      </c>
      <c r="F27" s="8">
        <v>14.84</v>
      </c>
      <c r="G27" s="12">
        <v>13</v>
      </c>
      <c r="H27" s="8">
        <v>1.91</v>
      </c>
      <c r="I27" s="12">
        <v>0</v>
      </c>
    </row>
    <row r="28" spans="2:9" ht="15" customHeight="1" x14ac:dyDescent="0.2">
      <c r="B28" t="s">
        <v>98</v>
      </c>
      <c r="C28" s="12">
        <v>92</v>
      </c>
      <c r="D28" s="8">
        <v>6.76</v>
      </c>
      <c r="E28" s="12">
        <v>46</v>
      </c>
      <c r="F28" s="8">
        <v>6.9</v>
      </c>
      <c r="G28" s="12">
        <v>46</v>
      </c>
      <c r="H28" s="8">
        <v>6.75</v>
      </c>
      <c r="I28" s="12">
        <v>0</v>
      </c>
    </row>
    <row r="29" spans="2:9" ht="15" customHeight="1" x14ac:dyDescent="0.2">
      <c r="B29" t="s">
        <v>96</v>
      </c>
      <c r="C29" s="12">
        <v>69</v>
      </c>
      <c r="D29" s="8">
        <v>5.07</v>
      </c>
      <c r="E29" s="12">
        <v>51</v>
      </c>
      <c r="F29" s="8">
        <v>7.65</v>
      </c>
      <c r="G29" s="12">
        <v>18</v>
      </c>
      <c r="H29" s="8">
        <v>2.64</v>
      </c>
      <c r="I29" s="12">
        <v>0</v>
      </c>
    </row>
    <row r="30" spans="2:9" ht="15" customHeight="1" x14ac:dyDescent="0.2">
      <c r="B30" t="s">
        <v>90</v>
      </c>
      <c r="C30" s="12">
        <v>65</v>
      </c>
      <c r="D30" s="8">
        <v>4.78</v>
      </c>
      <c r="E30" s="12">
        <v>12</v>
      </c>
      <c r="F30" s="8">
        <v>1.8</v>
      </c>
      <c r="G30" s="12">
        <v>53</v>
      </c>
      <c r="H30" s="8">
        <v>7.78</v>
      </c>
      <c r="I30" s="12">
        <v>0</v>
      </c>
    </row>
    <row r="31" spans="2:9" ht="15" customHeight="1" x14ac:dyDescent="0.2">
      <c r="B31" t="s">
        <v>97</v>
      </c>
      <c r="C31" s="12">
        <v>49</v>
      </c>
      <c r="D31" s="8">
        <v>3.6</v>
      </c>
      <c r="E31" s="12">
        <v>30</v>
      </c>
      <c r="F31" s="8">
        <v>4.5</v>
      </c>
      <c r="G31" s="12">
        <v>19</v>
      </c>
      <c r="H31" s="8">
        <v>2.79</v>
      </c>
      <c r="I31" s="12">
        <v>0</v>
      </c>
    </row>
    <row r="32" spans="2:9" ht="15" customHeight="1" x14ac:dyDescent="0.2">
      <c r="B32" t="s">
        <v>100</v>
      </c>
      <c r="C32" s="12">
        <v>46</v>
      </c>
      <c r="D32" s="8">
        <v>3.38</v>
      </c>
      <c r="E32" s="12">
        <v>6</v>
      </c>
      <c r="F32" s="8">
        <v>0.9</v>
      </c>
      <c r="G32" s="12">
        <v>40</v>
      </c>
      <c r="H32" s="8">
        <v>5.87</v>
      </c>
      <c r="I32" s="12">
        <v>0</v>
      </c>
    </row>
    <row r="33" spans="2:9" ht="15" customHeight="1" x14ac:dyDescent="0.2">
      <c r="B33" t="s">
        <v>106</v>
      </c>
      <c r="C33" s="12">
        <v>44</v>
      </c>
      <c r="D33" s="8">
        <v>3.24</v>
      </c>
      <c r="E33" s="12">
        <v>37</v>
      </c>
      <c r="F33" s="8">
        <v>5.55</v>
      </c>
      <c r="G33" s="12">
        <v>7</v>
      </c>
      <c r="H33" s="8">
        <v>1.03</v>
      </c>
      <c r="I33" s="12">
        <v>0</v>
      </c>
    </row>
    <row r="34" spans="2:9" ht="15" customHeight="1" x14ac:dyDescent="0.2">
      <c r="B34" t="s">
        <v>105</v>
      </c>
      <c r="C34" s="12">
        <v>36</v>
      </c>
      <c r="D34" s="8">
        <v>2.65</v>
      </c>
      <c r="E34" s="12">
        <v>27</v>
      </c>
      <c r="F34" s="8">
        <v>4.05</v>
      </c>
      <c r="G34" s="12">
        <v>8</v>
      </c>
      <c r="H34" s="8">
        <v>1.17</v>
      </c>
      <c r="I34" s="12">
        <v>0</v>
      </c>
    </row>
    <row r="35" spans="2:9" ht="15" customHeight="1" x14ac:dyDescent="0.2">
      <c r="B35" t="s">
        <v>101</v>
      </c>
      <c r="C35" s="12">
        <v>35</v>
      </c>
      <c r="D35" s="8">
        <v>2.57</v>
      </c>
      <c r="E35" s="12">
        <v>21</v>
      </c>
      <c r="F35" s="8">
        <v>3.15</v>
      </c>
      <c r="G35" s="12">
        <v>14</v>
      </c>
      <c r="H35" s="8">
        <v>2.06</v>
      </c>
      <c r="I35" s="12">
        <v>0</v>
      </c>
    </row>
    <row r="36" spans="2:9" ht="15" customHeight="1" x14ac:dyDescent="0.2">
      <c r="B36" t="s">
        <v>99</v>
      </c>
      <c r="C36" s="12">
        <v>32</v>
      </c>
      <c r="D36" s="8">
        <v>2.35</v>
      </c>
      <c r="E36" s="12">
        <v>7</v>
      </c>
      <c r="F36" s="8">
        <v>1.05</v>
      </c>
      <c r="G36" s="12">
        <v>25</v>
      </c>
      <c r="H36" s="8">
        <v>3.67</v>
      </c>
      <c r="I36" s="12">
        <v>0</v>
      </c>
    </row>
    <row r="37" spans="2:9" ht="15" customHeight="1" x14ac:dyDescent="0.2">
      <c r="B37" t="s">
        <v>102</v>
      </c>
      <c r="C37" s="12">
        <v>30</v>
      </c>
      <c r="D37" s="8">
        <v>2.21</v>
      </c>
      <c r="E37" s="12">
        <v>14</v>
      </c>
      <c r="F37" s="8">
        <v>2.1</v>
      </c>
      <c r="G37" s="12">
        <v>16</v>
      </c>
      <c r="H37" s="8">
        <v>2.35</v>
      </c>
      <c r="I37" s="12">
        <v>0</v>
      </c>
    </row>
    <row r="38" spans="2:9" ht="15" customHeight="1" x14ac:dyDescent="0.2">
      <c r="B38" t="s">
        <v>95</v>
      </c>
      <c r="C38" s="12">
        <v>29</v>
      </c>
      <c r="D38" s="8">
        <v>2.13</v>
      </c>
      <c r="E38" s="12">
        <v>14</v>
      </c>
      <c r="F38" s="8">
        <v>2.1</v>
      </c>
      <c r="G38" s="12">
        <v>15</v>
      </c>
      <c r="H38" s="8">
        <v>2.2000000000000002</v>
      </c>
      <c r="I38" s="12">
        <v>0</v>
      </c>
    </row>
    <row r="39" spans="2:9" ht="15" customHeight="1" x14ac:dyDescent="0.2">
      <c r="B39" t="s">
        <v>121</v>
      </c>
      <c r="C39" s="12">
        <v>25</v>
      </c>
      <c r="D39" s="8">
        <v>1.84</v>
      </c>
      <c r="E39" s="12">
        <v>7</v>
      </c>
      <c r="F39" s="8">
        <v>1.05</v>
      </c>
      <c r="G39" s="12">
        <v>18</v>
      </c>
      <c r="H39" s="8">
        <v>2.64</v>
      </c>
      <c r="I39" s="12">
        <v>0</v>
      </c>
    </row>
    <row r="40" spans="2:9" ht="15" customHeight="1" x14ac:dyDescent="0.2">
      <c r="B40" t="s">
        <v>119</v>
      </c>
      <c r="C40" s="12">
        <v>21</v>
      </c>
      <c r="D40" s="8">
        <v>1.54</v>
      </c>
      <c r="E40" s="12">
        <v>6</v>
      </c>
      <c r="F40" s="8">
        <v>0.9</v>
      </c>
      <c r="G40" s="12">
        <v>15</v>
      </c>
      <c r="H40" s="8">
        <v>2.2000000000000002</v>
      </c>
      <c r="I40" s="12">
        <v>0</v>
      </c>
    </row>
    <row r="41" spans="2:9" ht="15" customHeight="1" x14ac:dyDescent="0.2">
      <c r="B41" t="s">
        <v>110</v>
      </c>
      <c r="C41" s="12">
        <v>21</v>
      </c>
      <c r="D41" s="8">
        <v>1.54</v>
      </c>
      <c r="E41" s="12">
        <v>5</v>
      </c>
      <c r="F41" s="8">
        <v>0.75</v>
      </c>
      <c r="G41" s="12">
        <v>16</v>
      </c>
      <c r="H41" s="8">
        <v>2.35</v>
      </c>
      <c r="I41" s="12">
        <v>0</v>
      </c>
    </row>
    <row r="42" spans="2:9" ht="15" customHeight="1" x14ac:dyDescent="0.2">
      <c r="B42" t="s">
        <v>132</v>
      </c>
      <c r="C42" s="12">
        <v>21</v>
      </c>
      <c r="D42" s="8">
        <v>1.54</v>
      </c>
      <c r="E42" s="12">
        <v>0</v>
      </c>
      <c r="F42" s="8">
        <v>0</v>
      </c>
      <c r="G42" s="12">
        <v>12</v>
      </c>
      <c r="H42" s="8">
        <v>1.76</v>
      </c>
      <c r="I42" s="12">
        <v>0</v>
      </c>
    </row>
    <row r="43" spans="2:9" ht="15" customHeight="1" x14ac:dyDescent="0.2">
      <c r="B43" t="s">
        <v>133</v>
      </c>
      <c r="C43" s="12">
        <v>20</v>
      </c>
      <c r="D43" s="8">
        <v>1.47</v>
      </c>
      <c r="E43" s="12">
        <v>9</v>
      </c>
      <c r="F43" s="8">
        <v>1.35</v>
      </c>
      <c r="G43" s="12">
        <v>11</v>
      </c>
      <c r="H43" s="8">
        <v>1.62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172</v>
      </c>
      <c r="C47" s="12">
        <v>64</v>
      </c>
      <c r="D47" s="8">
        <v>4.71</v>
      </c>
      <c r="E47" s="12">
        <v>61</v>
      </c>
      <c r="F47" s="8">
        <v>9.15</v>
      </c>
      <c r="G47" s="12">
        <v>3</v>
      </c>
      <c r="H47" s="8">
        <v>0.44</v>
      </c>
      <c r="I47" s="12">
        <v>0</v>
      </c>
    </row>
    <row r="48" spans="2:9" ht="15" customHeight="1" x14ac:dyDescent="0.2">
      <c r="B48" t="s">
        <v>223</v>
      </c>
      <c r="C48" s="12">
        <v>46</v>
      </c>
      <c r="D48" s="8">
        <v>3.38</v>
      </c>
      <c r="E48" s="12">
        <v>31</v>
      </c>
      <c r="F48" s="8">
        <v>4.6500000000000004</v>
      </c>
      <c r="G48" s="12">
        <v>15</v>
      </c>
      <c r="H48" s="8">
        <v>2.2000000000000002</v>
      </c>
      <c r="I48" s="12">
        <v>0</v>
      </c>
    </row>
    <row r="49" spans="2:9" ht="15" customHeight="1" x14ac:dyDescent="0.2">
      <c r="B49" t="s">
        <v>171</v>
      </c>
      <c r="C49" s="12">
        <v>45</v>
      </c>
      <c r="D49" s="8">
        <v>3.31</v>
      </c>
      <c r="E49" s="12">
        <v>44</v>
      </c>
      <c r="F49" s="8">
        <v>6.6</v>
      </c>
      <c r="G49" s="12">
        <v>1</v>
      </c>
      <c r="H49" s="8">
        <v>0.15</v>
      </c>
      <c r="I49" s="12">
        <v>0</v>
      </c>
    </row>
    <row r="50" spans="2:9" ht="15" customHeight="1" x14ac:dyDescent="0.2">
      <c r="B50" t="s">
        <v>220</v>
      </c>
      <c r="C50" s="12">
        <v>40</v>
      </c>
      <c r="D50" s="8">
        <v>2.94</v>
      </c>
      <c r="E50" s="12">
        <v>9</v>
      </c>
      <c r="F50" s="8">
        <v>1.35</v>
      </c>
      <c r="G50" s="12">
        <v>31</v>
      </c>
      <c r="H50" s="8">
        <v>4.55</v>
      </c>
      <c r="I50" s="12">
        <v>0</v>
      </c>
    </row>
    <row r="51" spans="2:9" ht="15" customHeight="1" x14ac:dyDescent="0.2">
      <c r="B51" t="s">
        <v>168</v>
      </c>
      <c r="C51" s="12">
        <v>38</v>
      </c>
      <c r="D51" s="8">
        <v>2.79</v>
      </c>
      <c r="E51" s="12">
        <v>34</v>
      </c>
      <c r="F51" s="8">
        <v>5.0999999999999996</v>
      </c>
      <c r="G51" s="12">
        <v>4</v>
      </c>
      <c r="H51" s="8">
        <v>0.59</v>
      </c>
      <c r="I51" s="12">
        <v>0</v>
      </c>
    </row>
    <row r="52" spans="2:9" ht="15" customHeight="1" x14ac:dyDescent="0.2">
      <c r="B52" t="s">
        <v>221</v>
      </c>
      <c r="C52" s="12">
        <v>35</v>
      </c>
      <c r="D52" s="8">
        <v>2.57</v>
      </c>
      <c r="E52" s="12">
        <v>18</v>
      </c>
      <c r="F52" s="8">
        <v>2.7</v>
      </c>
      <c r="G52" s="12">
        <v>17</v>
      </c>
      <c r="H52" s="8">
        <v>2.5</v>
      </c>
      <c r="I52" s="12">
        <v>0</v>
      </c>
    </row>
    <row r="53" spans="2:9" ht="15" customHeight="1" x14ac:dyDescent="0.2">
      <c r="B53" t="s">
        <v>192</v>
      </c>
      <c r="C53" s="12">
        <v>33</v>
      </c>
      <c r="D53" s="8">
        <v>2.4300000000000002</v>
      </c>
      <c r="E53" s="12">
        <v>8</v>
      </c>
      <c r="F53" s="8">
        <v>1.2</v>
      </c>
      <c r="G53" s="12">
        <v>25</v>
      </c>
      <c r="H53" s="8">
        <v>3.67</v>
      </c>
      <c r="I53" s="12">
        <v>0</v>
      </c>
    </row>
    <row r="54" spans="2:9" ht="15" customHeight="1" x14ac:dyDescent="0.2">
      <c r="B54" t="s">
        <v>158</v>
      </c>
      <c r="C54" s="12">
        <v>29</v>
      </c>
      <c r="D54" s="8">
        <v>2.13</v>
      </c>
      <c r="E54" s="12">
        <v>19</v>
      </c>
      <c r="F54" s="8">
        <v>2.85</v>
      </c>
      <c r="G54" s="12">
        <v>10</v>
      </c>
      <c r="H54" s="8">
        <v>1.47</v>
      </c>
      <c r="I54" s="12">
        <v>0</v>
      </c>
    </row>
    <row r="55" spans="2:9" ht="15" customHeight="1" x14ac:dyDescent="0.2">
      <c r="B55" t="s">
        <v>175</v>
      </c>
      <c r="C55" s="12">
        <v>29</v>
      </c>
      <c r="D55" s="8">
        <v>2.13</v>
      </c>
      <c r="E55" s="12">
        <v>26</v>
      </c>
      <c r="F55" s="8">
        <v>3.9</v>
      </c>
      <c r="G55" s="12">
        <v>3</v>
      </c>
      <c r="H55" s="8">
        <v>0.44</v>
      </c>
      <c r="I55" s="12">
        <v>0</v>
      </c>
    </row>
    <row r="56" spans="2:9" ht="15" customHeight="1" x14ac:dyDescent="0.2">
      <c r="B56" t="s">
        <v>169</v>
      </c>
      <c r="C56" s="12">
        <v>28</v>
      </c>
      <c r="D56" s="8">
        <v>2.06</v>
      </c>
      <c r="E56" s="12">
        <v>25</v>
      </c>
      <c r="F56" s="8">
        <v>3.75</v>
      </c>
      <c r="G56" s="12">
        <v>3</v>
      </c>
      <c r="H56" s="8">
        <v>0.44</v>
      </c>
      <c r="I56" s="12">
        <v>0</v>
      </c>
    </row>
    <row r="57" spans="2:9" ht="15" customHeight="1" x14ac:dyDescent="0.2">
      <c r="B57" t="s">
        <v>159</v>
      </c>
      <c r="C57" s="12">
        <v>26</v>
      </c>
      <c r="D57" s="8">
        <v>1.91</v>
      </c>
      <c r="E57" s="12">
        <v>14</v>
      </c>
      <c r="F57" s="8">
        <v>2.1</v>
      </c>
      <c r="G57" s="12">
        <v>12</v>
      </c>
      <c r="H57" s="8">
        <v>1.76</v>
      </c>
      <c r="I57" s="12">
        <v>0</v>
      </c>
    </row>
    <row r="58" spans="2:9" ht="15" customHeight="1" x14ac:dyDescent="0.2">
      <c r="B58" t="s">
        <v>206</v>
      </c>
      <c r="C58" s="12">
        <v>24</v>
      </c>
      <c r="D58" s="8">
        <v>1.76</v>
      </c>
      <c r="E58" s="12">
        <v>4</v>
      </c>
      <c r="F58" s="8">
        <v>0.6</v>
      </c>
      <c r="G58" s="12">
        <v>20</v>
      </c>
      <c r="H58" s="8">
        <v>2.94</v>
      </c>
      <c r="I58" s="12">
        <v>0</v>
      </c>
    </row>
    <row r="59" spans="2:9" ht="15" customHeight="1" x14ac:dyDescent="0.2">
      <c r="B59" t="s">
        <v>226</v>
      </c>
      <c r="C59" s="12">
        <v>24</v>
      </c>
      <c r="D59" s="8">
        <v>1.76</v>
      </c>
      <c r="E59" s="12">
        <v>8</v>
      </c>
      <c r="F59" s="8">
        <v>1.2</v>
      </c>
      <c r="G59" s="12">
        <v>16</v>
      </c>
      <c r="H59" s="8">
        <v>2.35</v>
      </c>
      <c r="I59" s="12">
        <v>0</v>
      </c>
    </row>
    <row r="60" spans="2:9" ht="15" customHeight="1" x14ac:dyDescent="0.2">
      <c r="B60" t="s">
        <v>201</v>
      </c>
      <c r="C60" s="12">
        <v>24</v>
      </c>
      <c r="D60" s="8">
        <v>1.76</v>
      </c>
      <c r="E60" s="12">
        <v>4</v>
      </c>
      <c r="F60" s="8">
        <v>0.6</v>
      </c>
      <c r="G60" s="12">
        <v>20</v>
      </c>
      <c r="H60" s="8">
        <v>2.94</v>
      </c>
      <c r="I60" s="12">
        <v>0</v>
      </c>
    </row>
    <row r="61" spans="2:9" ht="15" customHeight="1" x14ac:dyDescent="0.2">
      <c r="B61" t="s">
        <v>160</v>
      </c>
      <c r="C61" s="12">
        <v>21</v>
      </c>
      <c r="D61" s="8">
        <v>1.54</v>
      </c>
      <c r="E61" s="12">
        <v>7</v>
      </c>
      <c r="F61" s="8">
        <v>1.05</v>
      </c>
      <c r="G61" s="12">
        <v>14</v>
      </c>
      <c r="H61" s="8">
        <v>2.06</v>
      </c>
      <c r="I61" s="12">
        <v>0</v>
      </c>
    </row>
    <row r="62" spans="2:9" ht="15" customHeight="1" x14ac:dyDescent="0.2">
      <c r="B62" t="s">
        <v>205</v>
      </c>
      <c r="C62" s="12">
        <v>20</v>
      </c>
      <c r="D62" s="8">
        <v>1.47</v>
      </c>
      <c r="E62" s="12">
        <v>14</v>
      </c>
      <c r="F62" s="8">
        <v>2.1</v>
      </c>
      <c r="G62" s="12">
        <v>6</v>
      </c>
      <c r="H62" s="8">
        <v>0.88</v>
      </c>
      <c r="I62" s="12">
        <v>0</v>
      </c>
    </row>
    <row r="63" spans="2:9" ht="15" customHeight="1" x14ac:dyDescent="0.2">
      <c r="B63" t="s">
        <v>198</v>
      </c>
      <c r="C63" s="12">
        <v>20</v>
      </c>
      <c r="D63" s="8">
        <v>1.47</v>
      </c>
      <c r="E63" s="12">
        <v>6</v>
      </c>
      <c r="F63" s="8">
        <v>0.9</v>
      </c>
      <c r="G63" s="12">
        <v>14</v>
      </c>
      <c r="H63" s="8">
        <v>2.06</v>
      </c>
      <c r="I63" s="12">
        <v>0</v>
      </c>
    </row>
    <row r="64" spans="2:9" ht="15" customHeight="1" x14ac:dyDescent="0.2">
      <c r="B64" t="s">
        <v>173</v>
      </c>
      <c r="C64" s="12">
        <v>20</v>
      </c>
      <c r="D64" s="8">
        <v>1.47</v>
      </c>
      <c r="E64" s="12">
        <v>15</v>
      </c>
      <c r="F64" s="8">
        <v>2.25</v>
      </c>
      <c r="G64" s="12">
        <v>5</v>
      </c>
      <c r="H64" s="8">
        <v>0.73</v>
      </c>
      <c r="I64" s="12">
        <v>0</v>
      </c>
    </row>
    <row r="65" spans="2:9" ht="15" customHeight="1" x14ac:dyDescent="0.2">
      <c r="B65" t="s">
        <v>224</v>
      </c>
      <c r="C65" s="12">
        <v>20</v>
      </c>
      <c r="D65" s="8">
        <v>1.47</v>
      </c>
      <c r="E65" s="12">
        <v>9</v>
      </c>
      <c r="F65" s="8">
        <v>1.35</v>
      </c>
      <c r="G65" s="12">
        <v>11</v>
      </c>
      <c r="H65" s="8">
        <v>1.62</v>
      </c>
      <c r="I65" s="12">
        <v>0</v>
      </c>
    </row>
    <row r="66" spans="2:9" ht="15" customHeight="1" x14ac:dyDescent="0.2">
      <c r="B66" t="s">
        <v>195</v>
      </c>
      <c r="C66" s="12">
        <v>19</v>
      </c>
      <c r="D66" s="8">
        <v>1.4</v>
      </c>
      <c r="E66" s="12">
        <v>4</v>
      </c>
      <c r="F66" s="8">
        <v>0.6</v>
      </c>
      <c r="G66" s="12">
        <v>15</v>
      </c>
      <c r="H66" s="8">
        <v>2.2000000000000002</v>
      </c>
      <c r="I66" s="12">
        <v>0</v>
      </c>
    </row>
    <row r="67" spans="2:9" ht="15" customHeight="1" x14ac:dyDescent="0.2">
      <c r="B67" t="s">
        <v>167</v>
      </c>
      <c r="C67" s="12">
        <v>19</v>
      </c>
      <c r="D67" s="8">
        <v>1.4</v>
      </c>
      <c r="E67" s="12">
        <v>7</v>
      </c>
      <c r="F67" s="8">
        <v>1.05</v>
      </c>
      <c r="G67" s="12">
        <v>12</v>
      </c>
      <c r="H67" s="8">
        <v>1.76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F963-AD54-4195-B812-88BF94D367A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383</v>
      </c>
      <c r="D6" s="8">
        <v>13.48</v>
      </c>
      <c r="E6" s="12">
        <v>57</v>
      </c>
      <c r="F6" s="8">
        <v>4.71</v>
      </c>
      <c r="G6" s="12">
        <v>326</v>
      </c>
      <c r="H6" s="8">
        <v>20.14</v>
      </c>
      <c r="I6" s="12">
        <v>0</v>
      </c>
    </row>
    <row r="7" spans="2:9" ht="15" customHeight="1" x14ac:dyDescent="0.2">
      <c r="B7" t="s">
        <v>67</v>
      </c>
      <c r="C7" s="12">
        <v>109</v>
      </c>
      <c r="D7" s="8">
        <v>3.84</v>
      </c>
      <c r="E7" s="12">
        <v>22</v>
      </c>
      <c r="F7" s="8">
        <v>1.82</v>
      </c>
      <c r="G7" s="12">
        <v>87</v>
      </c>
      <c r="H7" s="8">
        <v>5.37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69</v>
      </c>
      <c r="C9" s="12">
        <v>71</v>
      </c>
      <c r="D9" s="8">
        <v>2.5</v>
      </c>
      <c r="E9" s="12">
        <v>3</v>
      </c>
      <c r="F9" s="8">
        <v>0.25</v>
      </c>
      <c r="G9" s="12">
        <v>68</v>
      </c>
      <c r="H9" s="8">
        <v>4.2</v>
      </c>
      <c r="I9" s="12">
        <v>0</v>
      </c>
    </row>
    <row r="10" spans="2:9" ht="15" customHeight="1" x14ac:dyDescent="0.2">
      <c r="B10" t="s">
        <v>70</v>
      </c>
      <c r="C10" s="12">
        <v>13</v>
      </c>
      <c r="D10" s="8">
        <v>0.46</v>
      </c>
      <c r="E10" s="12">
        <v>3</v>
      </c>
      <c r="F10" s="8">
        <v>0.25</v>
      </c>
      <c r="G10" s="12">
        <v>10</v>
      </c>
      <c r="H10" s="8">
        <v>0.62</v>
      </c>
      <c r="I10" s="12">
        <v>0</v>
      </c>
    </row>
    <row r="11" spans="2:9" ht="15" customHeight="1" x14ac:dyDescent="0.2">
      <c r="B11" t="s">
        <v>71</v>
      </c>
      <c r="C11" s="12">
        <v>561</v>
      </c>
      <c r="D11" s="8">
        <v>19.739999999999998</v>
      </c>
      <c r="E11" s="12">
        <v>238</v>
      </c>
      <c r="F11" s="8">
        <v>19.670000000000002</v>
      </c>
      <c r="G11" s="12">
        <v>323</v>
      </c>
      <c r="H11" s="8">
        <v>19.95</v>
      </c>
      <c r="I11" s="12">
        <v>0</v>
      </c>
    </row>
    <row r="12" spans="2:9" ht="15" customHeight="1" x14ac:dyDescent="0.2">
      <c r="B12" t="s">
        <v>72</v>
      </c>
      <c r="C12" s="12">
        <v>17</v>
      </c>
      <c r="D12" s="8">
        <v>0.6</v>
      </c>
      <c r="E12" s="12">
        <v>3</v>
      </c>
      <c r="F12" s="8">
        <v>0.25</v>
      </c>
      <c r="G12" s="12">
        <v>14</v>
      </c>
      <c r="H12" s="8">
        <v>0.86</v>
      </c>
      <c r="I12" s="12">
        <v>0</v>
      </c>
    </row>
    <row r="13" spans="2:9" ht="15" customHeight="1" x14ac:dyDescent="0.2">
      <c r="B13" t="s">
        <v>73</v>
      </c>
      <c r="C13" s="12">
        <v>393</v>
      </c>
      <c r="D13" s="8">
        <v>13.83</v>
      </c>
      <c r="E13" s="12">
        <v>99</v>
      </c>
      <c r="F13" s="8">
        <v>8.18</v>
      </c>
      <c r="G13" s="12">
        <v>294</v>
      </c>
      <c r="H13" s="8">
        <v>18.16</v>
      </c>
      <c r="I13" s="12">
        <v>0</v>
      </c>
    </row>
    <row r="14" spans="2:9" ht="15" customHeight="1" x14ac:dyDescent="0.2">
      <c r="B14" t="s">
        <v>74</v>
      </c>
      <c r="C14" s="12">
        <v>225</v>
      </c>
      <c r="D14" s="8">
        <v>7.92</v>
      </c>
      <c r="E14" s="12">
        <v>75</v>
      </c>
      <c r="F14" s="8">
        <v>6.2</v>
      </c>
      <c r="G14" s="12">
        <v>150</v>
      </c>
      <c r="H14" s="8">
        <v>9.26</v>
      </c>
      <c r="I14" s="12">
        <v>0</v>
      </c>
    </row>
    <row r="15" spans="2:9" ht="15" customHeight="1" x14ac:dyDescent="0.2">
      <c r="B15" t="s">
        <v>75</v>
      </c>
      <c r="C15" s="12">
        <v>286</v>
      </c>
      <c r="D15" s="8">
        <v>10.06</v>
      </c>
      <c r="E15" s="12">
        <v>214</v>
      </c>
      <c r="F15" s="8">
        <v>17.690000000000001</v>
      </c>
      <c r="G15" s="12">
        <v>72</v>
      </c>
      <c r="H15" s="8">
        <v>4.45</v>
      </c>
      <c r="I15" s="12">
        <v>0</v>
      </c>
    </row>
    <row r="16" spans="2:9" ht="15" customHeight="1" x14ac:dyDescent="0.2">
      <c r="B16" t="s">
        <v>76</v>
      </c>
      <c r="C16" s="12">
        <v>357</v>
      </c>
      <c r="D16" s="8">
        <v>12.56</v>
      </c>
      <c r="E16" s="12">
        <v>244</v>
      </c>
      <c r="F16" s="8">
        <v>20.170000000000002</v>
      </c>
      <c r="G16" s="12">
        <v>113</v>
      </c>
      <c r="H16" s="8">
        <v>6.98</v>
      </c>
      <c r="I16" s="12">
        <v>0</v>
      </c>
    </row>
    <row r="17" spans="2:9" ht="15" customHeight="1" x14ac:dyDescent="0.2">
      <c r="B17" t="s">
        <v>77</v>
      </c>
      <c r="C17" s="12">
        <v>149</v>
      </c>
      <c r="D17" s="8">
        <v>5.24</v>
      </c>
      <c r="E17" s="12">
        <v>103</v>
      </c>
      <c r="F17" s="8">
        <v>8.51</v>
      </c>
      <c r="G17" s="12">
        <v>45</v>
      </c>
      <c r="H17" s="8">
        <v>2.78</v>
      </c>
      <c r="I17" s="12">
        <v>0</v>
      </c>
    </row>
    <row r="18" spans="2:9" ht="15" customHeight="1" x14ac:dyDescent="0.2">
      <c r="B18" t="s">
        <v>78</v>
      </c>
      <c r="C18" s="12">
        <v>212</v>
      </c>
      <c r="D18" s="8">
        <v>7.46</v>
      </c>
      <c r="E18" s="12">
        <v>137</v>
      </c>
      <c r="F18" s="8">
        <v>11.32</v>
      </c>
      <c r="G18" s="12">
        <v>63</v>
      </c>
      <c r="H18" s="8">
        <v>3.89</v>
      </c>
      <c r="I18" s="12">
        <v>0</v>
      </c>
    </row>
    <row r="19" spans="2:9" ht="15" customHeight="1" x14ac:dyDescent="0.2">
      <c r="B19" t="s">
        <v>79</v>
      </c>
      <c r="C19" s="12">
        <v>65</v>
      </c>
      <c r="D19" s="8">
        <v>2.29</v>
      </c>
      <c r="E19" s="12">
        <v>12</v>
      </c>
      <c r="F19" s="8">
        <v>0.99</v>
      </c>
      <c r="G19" s="12">
        <v>53</v>
      </c>
      <c r="H19" s="8">
        <v>3.27</v>
      </c>
      <c r="I19" s="12">
        <v>0</v>
      </c>
    </row>
    <row r="20" spans="2:9" ht="15" customHeight="1" x14ac:dyDescent="0.2">
      <c r="B20" s="9" t="s">
        <v>280</v>
      </c>
      <c r="C20" s="12">
        <f>SUM(LTBL_13229[総数／事業所数])</f>
        <v>2842</v>
      </c>
      <c r="E20" s="12">
        <f>SUBTOTAL(109,LTBL_13229[個人／事業所数])</f>
        <v>1210</v>
      </c>
      <c r="G20" s="12">
        <f>SUBTOTAL(109,LTBL_13229[法人／事業所数])</f>
        <v>1619</v>
      </c>
      <c r="I20" s="12">
        <f>SUBTOTAL(109,LTBL_13229[法人以外の団体／事業所数])</f>
        <v>0</v>
      </c>
    </row>
    <row r="21" spans="2:9" ht="15" customHeight="1" x14ac:dyDescent="0.2">
      <c r="E21" s="11">
        <f>LTBL_13229[[#Totals],[個人／事業所数]]/LTBL_13229[[#Totals],[総数／事業所数]]</f>
        <v>0.42575650950035188</v>
      </c>
      <c r="G21" s="11">
        <f>LTBL_13229[[#Totals],[法人／事業所数]]/LTBL_13229[[#Totals],[総数／事業所数]]</f>
        <v>0.56966924700914845</v>
      </c>
      <c r="I21" s="11">
        <f>LTBL_13229[[#Totals],[法人以外の団体／事業所数]]/LTBL_13229[[#Totals],[総数／事業所数]]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324</v>
      </c>
      <c r="D24" s="8">
        <v>11.4</v>
      </c>
      <c r="E24" s="12">
        <v>94</v>
      </c>
      <c r="F24" s="8">
        <v>7.77</v>
      </c>
      <c r="G24" s="12">
        <v>230</v>
      </c>
      <c r="H24" s="8">
        <v>14.21</v>
      </c>
      <c r="I24" s="12">
        <v>0</v>
      </c>
    </row>
    <row r="25" spans="2:9" ht="15" customHeight="1" x14ac:dyDescent="0.2">
      <c r="B25" t="s">
        <v>104</v>
      </c>
      <c r="C25" s="12">
        <v>295</v>
      </c>
      <c r="D25" s="8">
        <v>10.38</v>
      </c>
      <c r="E25" s="12">
        <v>220</v>
      </c>
      <c r="F25" s="8">
        <v>18.18</v>
      </c>
      <c r="G25" s="12">
        <v>75</v>
      </c>
      <c r="H25" s="8">
        <v>4.63</v>
      </c>
      <c r="I25" s="12">
        <v>0</v>
      </c>
    </row>
    <row r="26" spans="2:9" ht="15" customHeight="1" x14ac:dyDescent="0.2">
      <c r="B26" t="s">
        <v>103</v>
      </c>
      <c r="C26" s="12">
        <v>253</v>
      </c>
      <c r="D26" s="8">
        <v>8.9</v>
      </c>
      <c r="E26" s="12">
        <v>211</v>
      </c>
      <c r="F26" s="8">
        <v>17.440000000000001</v>
      </c>
      <c r="G26" s="12">
        <v>42</v>
      </c>
      <c r="H26" s="8">
        <v>2.59</v>
      </c>
      <c r="I26" s="12">
        <v>0</v>
      </c>
    </row>
    <row r="27" spans="2:9" ht="15" customHeight="1" x14ac:dyDescent="0.2">
      <c r="B27" t="s">
        <v>89</v>
      </c>
      <c r="C27" s="12">
        <v>160</v>
      </c>
      <c r="D27" s="8">
        <v>5.63</v>
      </c>
      <c r="E27" s="12">
        <v>30</v>
      </c>
      <c r="F27" s="8">
        <v>2.48</v>
      </c>
      <c r="G27" s="12">
        <v>130</v>
      </c>
      <c r="H27" s="8">
        <v>8.0299999999999994</v>
      </c>
      <c r="I27" s="12">
        <v>0</v>
      </c>
    </row>
    <row r="28" spans="2:9" ht="15" customHeight="1" x14ac:dyDescent="0.2">
      <c r="B28" t="s">
        <v>106</v>
      </c>
      <c r="C28" s="12">
        <v>153</v>
      </c>
      <c r="D28" s="8">
        <v>5.38</v>
      </c>
      <c r="E28" s="12">
        <v>135</v>
      </c>
      <c r="F28" s="8">
        <v>11.16</v>
      </c>
      <c r="G28" s="12">
        <v>18</v>
      </c>
      <c r="H28" s="8">
        <v>1.1100000000000001</v>
      </c>
      <c r="I28" s="12">
        <v>0</v>
      </c>
    </row>
    <row r="29" spans="2:9" ht="15" customHeight="1" x14ac:dyDescent="0.2">
      <c r="B29" t="s">
        <v>105</v>
      </c>
      <c r="C29" s="12">
        <v>149</v>
      </c>
      <c r="D29" s="8">
        <v>5.24</v>
      </c>
      <c r="E29" s="12">
        <v>103</v>
      </c>
      <c r="F29" s="8">
        <v>8.51</v>
      </c>
      <c r="G29" s="12">
        <v>45</v>
      </c>
      <c r="H29" s="8">
        <v>2.78</v>
      </c>
      <c r="I29" s="12">
        <v>0</v>
      </c>
    </row>
    <row r="30" spans="2:9" ht="15" customHeight="1" x14ac:dyDescent="0.2">
      <c r="B30" t="s">
        <v>96</v>
      </c>
      <c r="C30" s="12">
        <v>144</v>
      </c>
      <c r="D30" s="8">
        <v>5.07</v>
      </c>
      <c r="E30" s="12">
        <v>94</v>
      </c>
      <c r="F30" s="8">
        <v>7.77</v>
      </c>
      <c r="G30" s="12">
        <v>50</v>
      </c>
      <c r="H30" s="8">
        <v>3.09</v>
      </c>
      <c r="I30" s="12">
        <v>0</v>
      </c>
    </row>
    <row r="31" spans="2:9" ht="15" customHeight="1" x14ac:dyDescent="0.2">
      <c r="B31" t="s">
        <v>98</v>
      </c>
      <c r="C31" s="12">
        <v>139</v>
      </c>
      <c r="D31" s="8">
        <v>4.8899999999999997</v>
      </c>
      <c r="E31" s="12">
        <v>68</v>
      </c>
      <c r="F31" s="8">
        <v>5.62</v>
      </c>
      <c r="G31" s="12">
        <v>71</v>
      </c>
      <c r="H31" s="8">
        <v>4.3899999999999997</v>
      </c>
      <c r="I31" s="12">
        <v>0</v>
      </c>
    </row>
    <row r="32" spans="2:9" ht="15" customHeight="1" x14ac:dyDescent="0.2">
      <c r="B32" t="s">
        <v>101</v>
      </c>
      <c r="C32" s="12">
        <v>138</v>
      </c>
      <c r="D32" s="8">
        <v>4.8600000000000003</v>
      </c>
      <c r="E32" s="12">
        <v>59</v>
      </c>
      <c r="F32" s="8">
        <v>4.88</v>
      </c>
      <c r="G32" s="12">
        <v>79</v>
      </c>
      <c r="H32" s="8">
        <v>4.88</v>
      </c>
      <c r="I32" s="12">
        <v>0</v>
      </c>
    </row>
    <row r="33" spans="2:9" ht="15" customHeight="1" x14ac:dyDescent="0.2">
      <c r="B33" t="s">
        <v>88</v>
      </c>
      <c r="C33" s="12">
        <v>131</v>
      </c>
      <c r="D33" s="8">
        <v>4.6100000000000003</v>
      </c>
      <c r="E33" s="12">
        <v>19</v>
      </c>
      <c r="F33" s="8">
        <v>1.57</v>
      </c>
      <c r="G33" s="12">
        <v>112</v>
      </c>
      <c r="H33" s="8">
        <v>6.92</v>
      </c>
      <c r="I33" s="12">
        <v>0</v>
      </c>
    </row>
    <row r="34" spans="2:9" ht="15" customHeight="1" x14ac:dyDescent="0.2">
      <c r="B34" t="s">
        <v>90</v>
      </c>
      <c r="C34" s="12">
        <v>92</v>
      </c>
      <c r="D34" s="8">
        <v>3.24</v>
      </c>
      <c r="E34" s="12">
        <v>8</v>
      </c>
      <c r="F34" s="8">
        <v>0.66</v>
      </c>
      <c r="G34" s="12">
        <v>84</v>
      </c>
      <c r="H34" s="8">
        <v>5.19</v>
      </c>
      <c r="I34" s="12">
        <v>0</v>
      </c>
    </row>
    <row r="35" spans="2:9" ht="15" customHeight="1" x14ac:dyDescent="0.2">
      <c r="B35" t="s">
        <v>102</v>
      </c>
      <c r="C35" s="12">
        <v>76</v>
      </c>
      <c r="D35" s="8">
        <v>2.67</v>
      </c>
      <c r="E35" s="12">
        <v>16</v>
      </c>
      <c r="F35" s="8">
        <v>1.32</v>
      </c>
      <c r="G35" s="12">
        <v>60</v>
      </c>
      <c r="H35" s="8">
        <v>3.71</v>
      </c>
      <c r="I35" s="12">
        <v>0</v>
      </c>
    </row>
    <row r="36" spans="2:9" ht="15" customHeight="1" x14ac:dyDescent="0.2">
      <c r="B36" t="s">
        <v>97</v>
      </c>
      <c r="C36" s="12">
        <v>69</v>
      </c>
      <c r="D36" s="8">
        <v>2.4300000000000002</v>
      </c>
      <c r="E36" s="12">
        <v>29</v>
      </c>
      <c r="F36" s="8">
        <v>2.4</v>
      </c>
      <c r="G36" s="12">
        <v>40</v>
      </c>
      <c r="H36" s="8">
        <v>2.4700000000000002</v>
      </c>
      <c r="I36" s="12">
        <v>0</v>
      </c>
    </row>
    <row r="37" spans="2:9" ht="15" customHeight="1" x14ac:dyDescent="0.2">
      <c r="B37" t="s">
        <v>99</v>
      </c>
      <c r="C37" s="12">
        <v>61</v>
      </c>
      <c r="D37" s="8">
        <v>2.15</v>
      </c>
      <c r="E37" s="12">
        <v>4</v>
      </c>
      <c r="F37" s="8">
        <v>0.33</v>
      </c>
      <c r="G37" s="12">
        <v>57</v>
      </c>
      <c r="H37" s="8">
        <v>3.52</v>
      </c>
      <c r="I37" s="12">
        <v>0</v>
      </c>
    </row>
    <row r="38" spans="2:9" ht="15" customHeight="1" x14ac:dyDescent="0.2">
      <c r="B38" t="s">
        <v>132</v>
      </c>
      <c r="C38" s="12">
        <v>59</v>
      </c>
      <c r="D38" s="8">
        <v>2.08</v>
      </c>
      <c r="E38" s="12">
        <v>2</v>
      </c>
      <c r="F38" s="8">
        <v>0.17</v>
      </c>
      <c r="G38" s="12">
        <v>45</v>
      </c>
      <c r="H38" s="8">
        <v>2.78</v>
      </c>
      <c r="I38" s="12">
        <v>0</v>
      </c>
    </row>
    <row r="39" spans="2:9" ht="15" customHeight="1" x14ac:dyDescent="0.2">
      <c r="B39" t="s">
        <v>95</v>
      </c>
      <c r="C39" s="12">
        <v>48</v>
      </c>
      <c r="D39" s="8">
        <v>1.69</v>
      </c>
      <c r="E39" s="12">
        <v>21</v>
      </c>
      <c r="F39" s="8">
        <v>1.74</v>
      </c>
      <c r="G39" s="12">
        <v>27</v>
      </c>
      <c r="H39" s="8">
        <v>1.67</v>
      </c>
      <c r="I39" s="12">
        <v>0</v>
      </c>
    </row>
    <row r="40" spans="2:9" ht="15" customHeight="1" x14ac:dyDescent="0.2">
      <c r="B40" t="s">
        <v>94</v>
      </c>
      <c r="C40" s="12">
        <v>46</v>
      </c>
      <c r="D40" s="8">
        <v>1.62</v>
      </c>
      <c r="E40" s="12">
        <v>8</v>
      </c>
      <c r="F40" s="8">
        <v>0.66</v>
      </c>
      <c r="G40" s="12">
        <v>38</v>
      </c>
      <c r="H40" s="8">
        <v>2.35</v>
      </c>
      <c r="I40" s="12">
        <v>0</v>
      </c>
    </row>
    <row r="41" spans="2:9" ht="15" customHeight="1" x14ac:dyDescent="0.2">
      <c r="B41" t="s">
        <v>107</v>
      </c>
      <c r="C41" s="12">
        <v>42</v>
      </c>
      <c r="D41" s="8">
        <v>1.48</v>
      </c>
      <c r="E41" s="12">
        <v>3</v>
      </c>
      <c r="F41" s="8">
        <v>0.25</v>
      </c>
      <c r="G41" s="12">
        <v>39</v>
      </c>
      <c r="H41" s="8">
        <v>2.41</v>
      </c>
      <c r="I41" s="12">
        <v>0</v>
      </c>
    </row>
    <row r="42" spans="2:9" ht="15" customHeight="1" x14ac:dyDescent="0.2">
      <c r="B42" t="s">
        <v>115</v>
      </c>
      <c r="C42" s="12">
        <v>39</v>
      </c>
      <c r="D42" s="8">
        <v>1.37</v>
      </c>
      <c r="E42" s="12">
        <v>15</v>
      </c>
      <c r="F42" s="8">
        <v>1.24</v>
      </c>
      <c r="G42" s="12">
        <v>24</v>
      </c>
      <c r="H42" s="8">
        <v>1.48</v>
      </c>
      <c r="I42" s="12">
        <v>0</v>
      </c>
    </row>
    <row r="43" spans="2:9" ht="15" customHeight="1" x14ac:dyDescent="0.2">
      <c r="B43" t="s">
        <v>91</v>
      </c>
      <c r="C43" s="12">
        <v>37</v>
      </c>
      <c r="D43" s="8">
        <v>1.3</v>
      </c>
      <c r="E43" s="12">
        <v>2</v>
      </c>
      <c r="F43" s="8">
        <v>0.17</v>
      </c>
      <c r="G43" s="12">
        <v>35</v>
      </c>
      <c r="H43" s="8">
        <v>2.16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191</v>
      </c>
      <c r="D47" s="8">
        <v>6.72</v>
      </c>
      <c r="E47" s="12">
        <v>72</v>
      </c>
      <c r="F47" s="8">
        <v>5.95</v>
      </c>
      <c r="G47" s="12">
        <v>119</v>
      </c>
      <c r="H47" s="8">
        <v>7.35</v>
      </c>
      <c r="I47" s="12">
        <v>0</v>
      </c>
    </row>
    <row r="48" spans="2:9" ht="15" customHeight="1" x14ac:dyDescent="0.2">
      <c r="B48" t="s">
        <v>172</v>
      </c>
      <c r="C48" s="12">
        <v>123</v>
      </c>
      <c r="D48" s="8">
        <v>4.33</v>
      </c>
      <c r="E48" s="12">
        <v>98</v>
      </c>
      <c r="F48" s="8">
        <v>8.1</v>
      </c>
      <c r="G48" s="12">
        <v>25</v>
      </c>
      <c r="H48" s="8">
        <v>1.54</v>
      </c>
      <c r="I48" s="12">
        <v>0</v>
      </c>
    </row>
    <row r="49" spans="2:9" ht="15" customHeight="1" x14ac:dyDescent="0.2">
      <c r="B49" t="s">
        <v>175</v>
      </c>
      <c r="C49" s="12">
        <v>105</v>
      </c>
      <c r="D49" s="8">
        <v>3.69</v>
      </c>
      <c r="E49" s="12">
        <v>92</v>
      </c>
      <c r="F49" s="8">
        <v>7.6</v>
      </c>
      <c r="G49" s="12">
        <v>13</v>
      </c>
      <c r="H49" s="8">
        <v>0.8</v>
      </c>
      <c r="I49" s="12">
        <v>0</v>
      </c>
    </row>
    <row r="50" spans="2:9" ht="15" customHeight="1" x14ac:dyDescent="0.2">
      <c r="B50" t="s">
        <v>173</v>
      </c>
      <c r="C50" s="12">
        <v>95</v>
      </c>
      <c r="D50" s="8">
        <v>3.34</v>
      </c>
      <c r="E50" s="12">
        <v>71</v>
      </c>
      <c r="F50" s="8">
        <v>5.87</v>
      </c>
      <c r="G50" s="12">
        <v>24</v>
      </c>
      <c r="H50" s="8">
        <v>1.48</v>
      </c>
      <c r="I50" s="12">
        <v>0</v>
      </c>
    </row>
    <row r="51" spans="2:9" ht="15" customHeight="1" x14ac:dyDescent="0.2">
      <c r="B51" t="s">
        <v>171</v>
      </c>
      <c r="C51" s="12">
        <v>80</v>
      </c>
      <c r="D51" s="8">
        <v>2.81</v>
      </c>
      <c r="E51" s="12">
        <v>69</v>
      </c>
      <c r="F51" s="8">
        <v>5.7</v>
      </c>
      <c r="G51" s="12">
        <v>11</v>
      </c>
      <c r="H51" s="8">
        <v>0.68</v>
      </c>
      <c r="I51" s="12">
        <v>0</v>
      </c>
    </row>
    <row r="52" spans="2:9" ht="15" customHeight="1" x14ac:dyDescent="0.2">
      <c r="B52" t="s">
        <v>169</v>
      </c>
      <c r="C52" s="12">
        <v>76</v>
      </c>
      <c r="D52" s="8">
        <v>2.67</v>
      </c>
      <c r="E52" s="12">
        <v>67</v>
      </c>
      <c r="F52" s="8">
        <v>5.54</v>
      </c>
      <c r="G52" s="12">
        <v>9</v>
      </c>
      <c r="H52" s="8">
        <v>0.56000000000000005</v>
      </c>
      <c r="I52" s="12">
        <v>0</v>
      </c>
    </row>
    <row r="53" spans="2:9" ht="15" customHeight="1" x14ac:dyDescent="0.2">
      <c r="B53" t="s">
        <v>163</v>
      </c>
      <c r="C53" s="12">
        <v>70</v>
      </c>
      <c r="D53" s="8">
        <v>2.46</v>
      </c>
      <c r="E53" s="12">
        <v>4</v>
      </c>
      <c r="F53" s="8">
        <v>0.33</v>
      </c>
      <c r="G53" s="12">
        <v>66</v>
      </c>
      <c r="H53" s="8">
        <v>4.08</v>
      </c>
      <c r="I53" s="12">
        <v>0</v>
      </c>
    </row>
    <row r="54" spans="2:9" ht="15" customHeight="1" x14ac:dyDescent="0.2">
      <c r="B54" t="s">
        <v>197</v>
      </c>
      <c r="C54" s="12">
        <v>70</v>
      </c>
      <c r="D54" s="8">
        <v>2.46</v>
      </c>
      <c r="E54" s="12">
        <v>41</v>
      </c>
      <c r="F54" s="8">
        <v>3.39</v>
      </c>
      <c r="G54" s="12">
        <v>29</v>
      </c>
      <c r="H54" s="8">
        <v>1.79</v>
      </c>
      <c r="I54" s="12">
        <v>0</v>
      </c>
    </row>
    <row r="55" spans="2:9" ht="15" customHeight="1" x14ac:dyDescent="0.2">
      <c r="B55" t="s">
        <v>158</v>
      </c>
      <c r="C55" s="12">
        <v>68</v>
      </c>
      <c r="D55" s="8">
        <v>2.39</v>
      </c>
      <c r="E55" s="12">
        <v>41</v>
      </c>
      <c r="F55" s="8">
        <v>3.39</v>
      </c>
      <c r="G55" s="12">
        <v>27</v>
      </c>
      <c r="H55" s="8">
        <v>1.67</v>
      </c>
      <c r="I55" s="12">
        <v>0</v>
      </c>
    </row>
    <row r="56" spans="2:9" ht="15" customHeight="1" x14ac:dyDescent="0.2">
      <c r="B56" t="s">
        <v>168</v>
      </c>
      <c r="C56" s="12">
        <v>65</v>
      </c>
      <c r="D56" s="8">
        <v>2.29</v>
      </c>
      <c r="E56" s="12">
        <v>50</v>
      </c>
      <c r="F56" s="8">
        <v>4.13</v>
      </c>
      <c r="G56" s="12">
        <v>15</v>
      </c>
      <c r="H56" s="8">
        <v>0.93</v>
      </c>
      <c r="I56" s="12">
        <v>0</v>
      </c>
    </row>
    <row r="57" spans="2:9" ht="15" customHeight="1" x14ac:dyDescent="0.2">
      <c r="B57" t="s">
        <v>170</v>
      </c>
      <c r="C57" s="12">
        <v>51</v>
      </c>
      <c r="D57" s="8">
        <v>1.79</v>
      </c>
      <c r="E57" s="12">
        <v>47</v>
      </c>
      <c r="F57" s="8">
        <v>3.88</v>
      </c>
      <c r="G57" s="12">
        <v>4</v>
      </c>
      <c r="H57" s="8">
        <v>0.25</v>
      </c>
      <c r="I57" s="12">
        <v>0</v>
      </c>
    </row>
    <row r="58" spans="2:9" ht="15" customHeight="1" x14ac:dyDescent="0.2">
      <c r="B58" t="s">
        <v>200</v>
      </c>
      <c r="C58" s="12">
        <v>48</v>
      </c>
      <c r="D58" s="8">
        <v>1.69</v>
      </c>
      <c r="E58" s="12">
        <v>4</v>
      </c>
      <c r="F58" s="8">
        <v>0.33</v>
      </c>
      <c r="G58" s="12">
        <v>44</v>
      </c>
      <c r="H58" s="8">
        <v>2.72</v>
      </c>
      <c r="I58" s="12">
        <v>0</v>
      </c>
    </row>
    <row r="59" spans="2:9" ht="15" customHeight="1" x14ac:dyDescent="0.2">
      <c r="B59" t="s">
        <v>160</v>
      </c>
      <c r="C59" s="12">
        <v>48</v>
      </c>
      <c r="D59" s="8">
        <v>1.69</v>
      </c>
      <c r="E59" s="12">
        <v>4</v>
      </c>
      <c r="F59" s="8">
        <v>0.33</v>
      </c>
      <c r="G59" s="12">
        <v>44</v>
      </c>
      <c r="H59" s="8">
        <v>2.72</v>
      </c>
      <c r="I59" s="12">
        <v>0</v>
      </c>
    </row>
    <row r="60" spans="2:9" ht="15" customHeight="1" x14ac:dyDescent="0.2">
      <c r="B60" t="s">
        <v>225</v>
      </c>
      <c r="C60" s="12">
        <v>47</v>
      </c>
      <c r="D60" s="8">
        <v>1.65</v>
      </c>
      <c r="E60" s="12">
        <v>31</v>
      </c>
      <c r="F60" s="8">
        <v>2.56</v>
      </c>
      <c r="G60" s="12">
        <v>16</v>
      </c>
      <c r="H60" s="8">
        <v>0.99</v>
      </c>
      <c r="I60" s="12">
        <v>0</v>
      </c>
    </row>
    <row r="61" spans="2:9" ht="15" customHeight="1" x14ac:dyDescent="0.2">
      <c r="B61" t="s">
        <v>195</v>
      </c>
      <c r="C61" s="12">
        <v>46</v>
      </c>
      <c r="D61" s="8">
        <v>1.62</v>
      </c>
      <c r="E61" s="12">
        <v>9</v>
      </c>
      <c r="F61" s="8">
        <v>0.74</v>
      </c>
      <c r="G61" s="12">
        <v>37</v>
      </c>
      <c r="H61" s="8">
        <v>2.29</v>
      </c>
      <c r="I61" s="12">
        <v>0</v>
      </c>
    </row>
    <row r="62" spans="2:9" ht="15" customHeight="1" x14ac:dyDescent="0.2">
      <c r="B62" t="s">
        <v>166</v>
      </c>
      <c r="C62" s="12">
        <v>46</v>
      </c>
      <c r="D62" s="8">
        <v>1.62</v>
      </c>
      <c r="E62" s="12">
        <v>3</v>
      </c>
      <c r="F62" s="8">
        <v>0.25</v>
      </c>
      <c r="G62" s="12">
        <v>43</v>
      </c>
      <c r="H62" s="8">
        <v>2.66</v>
      </c>
      <c r="I62" s="12">
        <v>0</v>
      </c>
    </row>
    <row r="63" spans="2:9" ht="15" customHeight="1" x14ac:dyDescent="0.2">
      <c r="B63" t="s">
        <v>201</v>
      </c>
      <c r="C63" s="12">
        <v>43</v>
      </c>
      <c r="D63" s="8">
        <v>1.51</v>
      </c>
      <c r="E63" s="12">
        <v>5</v>
      </c>
      <c r="F63" s="8">
        <v>0.41</v>
      </c>
      <c r="G63" s="12">
        <v>38</v>
      </c>
      <c r="H63" s="8">
        <v>2.35</v>
      </c>
      <c r="I63" s="12">
        <v>0</v>
      </c>
    </row>
    <row r="64" spans="2:9" ht="15" customHeight="1" x14ac:dyDescent="0.2">
      <c r="B64" t="s">
        <v>167</v>
      </c>
      <c r="C64" s="12">
        <v>43</v>
      </c>
      <c r="D64" s="8">
        <v>1.51</v>
      </c>
      <c r="E64" s="12">
        <v>5</v>
      </c>
      <c r="F64" s="8">
        <v>0.41</v>
      </c>
      <c r="G64" s="12">
        <v>38</v>
      </c>
      <c r="H64" s="8">
        <v>2.35</v>
      </c>
      <c r="I64" s="12">
        <v>0</v>
      </c>
    </row>
    <row r="65" spans="2:9" ht="15" customHeight="1" x14ac:dyDescent="0.2">
      <c r="B65" t="s">
        <v>174</v>
      </c>
      <c r="C65" s="12">
        <v>43</v>
      </c>
      <c r="D65" s="8">
        <v>1.51</v>
      </c>
      <c r="E65" s="12">
        <v>40</v>
      </c>
      <c r="F65" s="8">
        <v>3.31</v>
      </c>
      <c r="G65" s="12">
        <v>3</v>
      </c>
      <c r="H65" s="8">
        <v>0.19</v>
      </c>
      <c r="I65" s="12">
        <v>0</v>
      </c>
    </row>
    <row r="66" spans="2:9" ht="15" customHeight="1" x14ac:dyDescent="0.2">
      <c r="B66" t="s">
        <v>159</v>
      </c>
      <c r="C66" s="12">
        <v>39</v>
      </c>
      <c r="D66" s="8">
        <v>1.37</v>
      </c>
      <c r="E66" s="12">
        <v>21</v>
      </c>
      <c r="F66" s="8">
        <v>1.74</v>
      </c>
      <c r="G66" s="12">
        <v>18</v>
      </c>
      <c r="H66" s="8">
        <v>1.1100000000000001</v>
      </c>
      <c r="I66" s="12">
        <v>0</v>
      </c>
    </row>
    <row r="67" spans="2:9" ht="15" customHeight="1" x14ac:dyDescent="0.2">
      <c r="B67" t="s">
        <v>161</v>
      </c>
      <c r="C67" s="12">
        <v>39</v>
      </c>
      <c r="D67" s="8">
        <v>1.37</v>
      </c>
      <c r="E67" s="12">
        <v>6</v>
      </c>
      <c r="F67" s="8">
        <v>0.5</v>
      </c>
      <c r="G67" s="12">
        <v>33</v>
      </c>
      <c r="H67" s="8">
        <v>2.04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C4F4-96D7-425B-AE3E-3B0B60FD092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171</v>
      </c>
      <c r="D6" s="8">
        <v>17.850000000000001</v>
      </c>
      <c r="E6" s="12">
        <v>45</v>
      </c>
      <c r="F6" s="8">
        <v>14.15</v>
      </c>
      <c r="G6" s="12">
        <v>126</v>
      </c>
      <c r="H6" s="8">
        <v>19.78</v>
      </c>
      <c r="I6" s="12">
        <v>0</v>
      </c>
    </row>
    <row r="7" spans="2:9" ht="15" customHeight="1" x14ac:dyDescent="0.2">
      <c r="B7" t="s">
        <v>67</v>
      </c>
      <c r="C7" s="12">
        <v>285</v>
      </c>
      <c r="D7" s="8">
        <v>29.75</v>
      </c>
      <c r="E7" s="12">
        <v>52</v>
      </c>
      <c r="F7" s="8">
        <v>16.350000000000001</v>
      </c>
      <c r="G7" s="12">
        <v>233</v>
      </c>
      <c r="H7" s="8">
        <v>36.58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0.21</v>
      </c>
      <c r="E8" s="12">
        <v>0</v>
      </c>
      <c r="F8" s="8">
        <v>0</v>
      </c>
      <c r="G8" s="12">
        <v>2</v>
      </c>
      <c r="H8" s="8">
        <v>0.31</v>
      </c>
      <c r="I8" s="12">
        <v>0</v>
      </c>
    </row>
    <row r="9" spans="2:9" ht="15" customHeight="1" x14ac:dyDescent="0.2">
      <c r="B9" t="s">
        <v>69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0.16</v>
      </c>
      <c r="I9" s="12">
        <v>0</v>
      </c>
    </row>
    <row r="10" spans="2:9" ht="15" customHeight="1" x14ac:dyDescent="0.2">
      <c r="B10" t="s">
        <v>70</v>
      </c>
      <c r="C10" s="12">
        <v>19</v>
      </c>
      <c r="D10" s="8">
        <v>1.98</v>
      </c>
      <c r="E10" s="12">
        <v>1</v>
      </c>
      <c r="F10" s="8">
        <v>0.31</v>
      </c>
      <c r="G10" s="12">
        <v>18</v>
      </c>
      <c r="H10" s="8">
        <v>2.83</v>
      </c>
      <c r="I10" s="12">
        <v>0</v>
      </c>
    </row>
    <row r="11" spans="2:9" ht="15" customHeight="1" x14ac:dyDescent="0.2">
      <c r="B11" t="s">
        <v>71</v>
      </c>
      <c r="C11" s="12">
        <v>179</v>
      </c>
      <c r="D11" s="8">
        <v>18.68</v>
      </c>
      <c r="E11" s="12">
        <v>73</v>
      </c>
      <c r="F11" s="8">
        <v>22.96</v>
      </c>
      <c r="G11" s="12">
        <v>106</v>
      </c>
      <c r="H11" s="8">
        <v>16.64</v>
      </c>
      <c r="I11" s="12">
        <v>0</v>
      </c>
    </row>
    <row r="12" spans="2:9" ht="15" customHeight="1" x14ac:dyDescent="0.2">
      <c r="B12" t="s">
        <v>72</v>
      </c>
      <c r="C12" s="12">
        <v>4</v>
      </c>
      <c r="D12" s="8">
        <v>0.42</v>
      </c>
      <c r="E12" s="12">
        <v>0</v>
      </c>
      <c r="F12" s="8">
        <v>0</v>
      </c>
      <c r="G12" s="12">
        <v>4</v>
      </c>
      <c r="H12" s="8">
        <v>0.63</v>
      </c>
      <c r="I12" s="12">
        <v>0</v>
      </c>
    </row>
    <row r="13" spans="2:9" ht="15" customHeight="1" x14ac:dyDescent="0.2">
      <c r="B13" t="s">
        <v>73</v>
      </c>
      <c r="C13" s="12">
        <v>60</v>
      </c>
      <c r="D13" s="8">
        <v>6.26</v>
      </c>
      <c r="E13" s="12">
        <v>1</v>
      </c>
      <c r="F13" s="8">
        <v>0.31</v>
      </c>
      <c r="G13" s="12">
        <v>59</v>
      </c>
      <c r="H13" s="8">
        <v>9.26</v>
      </c>
      <c r="I13" s="12">
        <v>0</v>
      </c>
    </row>
    <row r="14" spans="2:9" ht="15" customHeight="1" x14ac:dyDescent="0.2">
      <c r="B14" t="s">
        <v>74</v>
      </c>
      <c r="C14" s="12">
        <v>21</v>
      </c>
      <c r="D14" s="8">
        <v>2.19</v>
      </c>
      <c r="E14" s="12">
        <v>10</v>
      </c>
      <c r="F14" s="8">
        <v>3.14</v>
      </c>
      <c r="G14" s="12">
        <v>11</v>
      </c>
      <c r="H14" s="8">
        <v>1.73</v>
      </c>
      <c r="I14" s="12">
        <v>0</v>
      </c>
    </row>
    <row r="15" spans="2:9" ht="15" customHeight="1" x14ac:dyDescent="0.2">
      <c r="B15" t="s">
        <v>75</v>
      </c>
      <c r="C15" s="12">
        <v>56</v>
      </c>
      <c r="D15" s="8">
        <v>5.85</v>
      </c>
      <c r="E15" s="12">
        <v>40</v>
      </c>
      <c r="F15" s="8">
        <v>12.58</v>
      </c>
      <c r="G15" s="12">
        <v>16</v>
      </c>
      <c r="H15" s="8">
        <v>2.5099999999999998</v>
      </c>
      <c r="I15" s="12">
        <v>0</v>
      </c>
    </row>
    <row r="16" spans="2:9" ht="15" customHeight="1" x14ac:dyDescent="0.2">
      <c r="B16" t="s">
        <v>76</v>
      </c>
      <c r="C16" s="12">
        <v>59</v>
      </c>
      <c r="D16" s="8">
        <v>6.16</v>
      </c>
      <c r="E16" s="12">
        <v>46</v>
      </c>
      <c r="F16" s="8">
        <v>14.47</v>
      </c>
      <c r="G16" s="12">
        <v>12</v>
      </c>
      <c r="H16" s="8">
        <v>1.88</v>
      </c>
      <c r="I16" s="12">
        <v>0</v>
      </c>
    </row>
    <row r="17" spans="2:9" ht="15" customHeight="1" x14ac:dyDescent="0.2">
      <c r="B17" t="s">
        <v>77</v>
      </c>
      <c r="C17" s="12">
        <v>15</v>
      </c>
      <c r="D17" s="8">
        <v>1.57</v>
      </c>
      <c r="E17" s="12">
        <v>12</v>
      </c>
      <c r="F17" s="8">
        <v>3.77</v>
      </c>
      <c r="G17" s="12">
        <v>2</v>
      </c>
      <c r="H17" s="8">
        <v>0.31</v>
      </c>
      <c r="I17" s="12">
        <v>0</v>
      </c>
    </row>
    <row r="18" spans="2:9" ht="15" customHeight="1" x14ac:dyDescent="0.2">
      <c r="B18" t="s">
        <v>78</v>
      </c>
      <c r="C18" s="12">
        <v>31</v>
      </c>
      <c r="D18" s="8">
        <v>3.24</v>
      </c>
      <c r="E18" s="12">
        <v>16</v>
      </c>
      <c r="F18" s="8">
        <v>5.03</v>
      </c>
      <c r="G18" s="12">
        <v>15</v>
      </c>
      <c r="H18" s="8">
        <v>2.35</v>
      </c>
      <c r="I18" s="12">
        <v>0</v>
      </c>
    </row>
    <row r="19" spans="2:9" ht="15" customHeight="1" x14ac:dyDescent="0.2">
      <c r="B19" t="s">
        <v>79</v>
      </c>
      <c r="C19" s="12">
        <v>55</v>
      </c>
      <c r="D19" s="8">
        <v>5.74</v>
      </c>
      <c r="E19" s="12">
        <v>22</v>
      </c>
      <c r="F19" s="8">
        <v>6.92</v>
      </c>
      <c r="G19" s="12">
        <v>32</v>
      </c>
      <c r="H19" s="8">
        <v>5.0199999999999996</v>
      </c>
      <c r="I19" s="12">
        <v>0</v>
      </c>
    </row>
    <row r="20" spans="2:9" ht="15" customHeight="1" x14ac:dyDescent="0.2">
      <c r="B20" s="9" t="s">
        <v>280</v>
      </c>
      <c r="C20" s="12">
        <f>SUM(LTBL_13303[総数／事業所数])</f>
        <v>958</v>
      </c>
      <c r="E20" s="12">
        <f>SUBTOTAL(109,LTBL_13303[個人／事業所数])</f>
        <v>318</v>
      </c>
      <c r="G20" s="12">
        <f>SUBTOTAL(109,LTBL_13303[法人／事業所数])</f>
        <v>637</v>
      </c>
      <c r="I20" s="12">
        <f>SUBTOTAL(109,LTBL_13303[法人以外の団体／事業所数])</f>
        <v>0</v>
      </c>
    </row>
    <row r="21" spans="2:9" ht="15" customHeight="1" x14ac:dyDescent="0.2">
      <c r="E21" s="11">
        <f>LTBL_13303[[#Totals],[個人／事業所数]]/LTBL_13303[[#Totals],[総数／事業所数]]</f>
        <v>0.33194154488517746</v>
      </c>
      <c r="G21" s="11">
        <f>LTBL_13303[[#Totals],[法人／事業所数]]/LTBL_13303[[#Totals],[総数／事業所数]]</f>
        <v>0.66492693110647183</v>
      </c>
      <c r="I21" s="11">
        <f>LTBL_13303[[#Totals],[法人以外の団体／事業所数]]/LTBL_13303[[#Totals],[総数／事業所数]]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89</v>
      </c>
      <c r="C24" s="12">
        <v>78</v>
      </c>
      <c r="D24" s="8">
        <v>8.14</v>
      </c>
      <c r="E24" s="12">
        <v>21</v>
      </c>
      <c r="F24" s="8">
        <v>6.6</v>
      </c>
      <c r="G24" s="12">
        <v>57</v>
      </c>
      <c r="H24" s="8">
        <v>8.9499999999999993</v>
      </c>
      <c r="I24" s="12">
        <v>0</v>
      </c>
    </row>
    <row r="25" spans="2:9" ht="15" customHeight="1" x14ac:dyDescent="0.2">
      <c r="B25" t="s">
        <v>119</v>
      </c>
      <c r="C25" s="12">
        <v>76</v>
      </c>
      <c r="D25" s="8">
        <v>7.93</v>
      </c>
      <c r="E25" s="12">
        <v>16</v>
      </c>
      <c r="F25" s="8">
        <v>5.03</v>
      </c>
      <c r="G25" s="12">
        <v>60</v>
      </c>
      <c r="H25" s="8">
        <v>9.42</v>
      </c>
      <c r="I25" s="12">
        <v>0</v>
      </c>
    </row>
    <row r="26" spans="2:9" ht="15" customHeight="1" x14ac:dyDescent="0.2">
      <c r="B26" t="s">
        <v>88</v>
      </c>
      <c r="C26" s="12">
        <v>63</v>
      </c>
      <c r="D26" s="8">
        <v>6.58</v>
      </c>
      <c r="E26" s="12">
        <v>16</v>
      </c>
      <c r="F26" s="8">
        <v>5.03</v>
      </c>
      <c r="G26" s="12">
        <v>47</v>
      </c>
      <c r="H26" s="8">
        <v>7.38</v>
      </c>
      <c r="I26" s="12">
        <v>0</v>
      </c>
    </row>
    <row r="27" spans="2:9" ht="15" customHeight="1" x14ac:dyDescent="0.2">
      <c r="B27" t="s">
        <v>103</v>
      </c>
      <c r="C27" s="12">
        <v>52</v>
      </c>
      <c r="D27" s="8">
        <v>5.43</v>
      </c>
      <c r="E27" s="12">
        <v>40</v>
      </c>
      <c r="F27" s="8">
        <v>12.58</v>
      </c>
      <c r="G27" s="12">
        <v>12</v>
      </c>
      <c r="H27" s="8">
        <v>1.88</v>
      </c>
      <c r="I27" s="12">
        <v>0</v>
      </c>
    </row>
    <row r="28" spans="2:9" ht="15" customHeight="1" x14ac:dyDescent="0.2">
      <c r="B28" t="s">
        <v>121</v>
      </c>
      <c r="C28" s="12">
        <v>49</v>
      </c>
      <c r="D28" s="8">
        <v>5.1100000000000003</v>
      </c>
      <c r="E28" s="12">
        <v>6</v>
      </c>
      <c r="F28" s="8">
        <v>1.89</v>
      </c>
      <c r="G28" s="12">
        <v>43</v>
      </c>
      <c r="H28" s="8">
        <v>6.75</v>
      </c>
      <c r="I28" s="12">
        <v>0</v>
      </c>
    </row>
    <row r="29" spans="2:9" ht="15" customHeight="1" x14ac:dyDescent="0.2">
      <c r="B29" t="s">
        <v>97</v>
      </c>
      <c r="C29" s="12">
        <v>49</v>
      </c>
      <c r="D29" s="8">
        <v>5.1100000000000003</v>
      </c>
      <c r="E29" s="12">
        <v>21</v>
      </c>
      <c r="F29" s="8">
        <v>6.6</v>
      </c>
      <c r="G29" s="12">
        <v>28</v>
      </c>
      <c r="H29" s="8">
        <v>4.4000000000000004</v>
      </c>
      <c r="I29" s="12">
        <v>0</v>
      </c>
    </row>
    <row r="30" spans="2:9" ht="15" customHeight="1" x14ac:dyDescent="0.2">
      <c r="B30" t="s">
        <v>104</v>
      </c>
      <c r="C30" s="12">
        <v>45</v>
      </c>
      <c r="D30" s="8">
        <v>4.7</v>
      </c>
      <c r="E30" s="12">
        <v>40</v>
      </c>
      <c r="F30" s="8">
        <v>12.58</v>
      </c>
      <c r="G30" s="12">
        <v>5</v>
      </c>
      <c r="H30" s="8">
        <v>0.78</v>
      </c>
      <c r="I30" s="12">
        <v>0</v>
      </c>
    </row>
    <row r="31" spans="2:9" ht="15" customHeight="1" x14ac:dyDescent="0.2">
      <c r="B31" t="s">
        <v>100</v>
      </c>
      <c r="C31" s="12">
        <v>43</v>
      </c>
      <c r="D31" s="8">
        <v>4.49</v>
      </c>
      <c r="E31" s="12">
        <v>1</v>
      </c>
      <c r="F31" s="8">
        <v>0.31</v>
      </c>
      <c r="G31" s="12">
        <v>42</v>
      </c>
      <c r="H31" s="8">
        <v>6.59</v>
      </c>
      <c r="I31" s="12">
        <v>0</v>
      </c>
    </row>
    <row r="32" spans="2:9" ht="15" customHeight="1" x14ac:dyDescent="0.2">
      <c r="B32" t="s">
        <v>133</v>
      </c>
      <c r="C32" s="12">
        <v>36</v>
      </c>
      <c r="D32" s="8">
        <v>3.76</v>
      </c>
      <c r="E32" s="12">
        <v>18</v>
      </c>
      <c r="F32" s="8">
        <v>5.66</v>
      </c>
      <c r="G32" s="12">
        <v>18</v>
      </c>
      <c r="H32" s="8">
        <v>2.83</v>
      </c>
      <c r="I32" s="12">
        <v>0</v>
      </c>
    </row>
    <row r="33" spans="2:9" ht="15" customHeight="1" x14ac:dyDescent="0.2">
      <c r="B33" t="s">
        <v>98</v>
      </c>
      <c r="C33" s="12">
        <v>32</v>
      </c>
      <c r="D33" s="8">
        <v>3.34</v>
      </c>
      <c r="E33" s="12">
        <v>16</v>
      </c>
      <c r="F33" s="8">
        <v>5.03</v>
      </c>
      <c r="G33" s="12">
        <v>16</v>
      </c>
      <c r="H33" s="8">
        <v>2.5099999999999998</v>
      </c>
      <c r="I33" s="12">
        <v>0</v>
      </c>
    </row>
    <row r="34" spans="2:9" ht="15" customHeight="1" x14ac:dyDescent="0.2">
      <c r="B34" t="s">
        <v>90</v>
      </c>
      <c r="C34" s="12">
        <v>30</v>
      </c>
      <c r="D34" s="8">
        <v>3.13</v>
      </c>
      <c r="E34" s="12">
        <v>8</v>
      </c>
      <c r="F34" s="8">
        <v>2.52</v>
      </c>
      <c r="G34" s="12">
        <v>22</v>
      </c>
      <c r="H34" s="8">
        <v>3.45</v>
      </c>
      <c r="I34" s="12">
        <v>0</v>
      </c>
    </row>
    <row r="35" spans="2:9" ht="15" customHeight="1" x14ac:dyDescent="0.2">
      <c r="B35" t="s">
        <v>96</v>
      </c>
      <c r="C35" s="12">
        <v>30</v>
      </c>
      <c r="D35" s="8">
        <v>3.13</v>
      </c>
      <c r="E35" s="12">
        <v>19</v>
      </c>
      <c r="F35" s="8">
        <v>5.97</v>
      </c>
      <c r="G35" s="12">
        <v>11</v>
      </c>
      <c r="H35" s="8">
        <v>1.73</v>
      </c>
      <c r="I35" s="12">
        <v>0</v>
      </c>
    </row>
    <row r="36" spans="2:9" ht="15" customHeight="1" x14ac:dyDescent="0.2">
      <c r="B36" t="s">
        <v>134</v>
      </c>
      <c r="C36" s="12">
        <v>19</v>
      </c>
      <c r="D36" s="8">
        <v>1.98</v>
      </c>
      <c r="E36" s="12">
        <v>3</v>
      </c>
      <c r="F36" s="8">
        <v>0.94</v>
      </c>
      <c r="G36" s="12">
        <v>16</v>
      </c>
      <c r="H36" s="8">
        <v>2.5099999999999998</v>
      </c>
      <c r="I36" s="12">
        <v>0</v>
      </c>
    </row>
    <row r="37" spans="2:9" ht="15" customHeight="1" x14ac:dyDescent="0.2">
      <c r="B37" t="s">
        <v>124</v>
      </c>
      <c r="C37" s="12">
        <v>18</v>
      </c>
      <c r="D37" s="8">
        <v>1.88</v>
      </c>
      <c r="E37" s="12">
        <v>1</v>
      </c>
      <c r="F37" s="8">
        <v>0.31</v>
      </c>
      <c r="G37" s="12">
        <v>17</v>
      </c>
      <c r="H37" s="8">
        <v>2.67</v>
      </c>
      <c r="I37" s="12">
        <v>0</v>
      </c>
    </row>
    <row r="38" spans="2:9" ht="15" customHeight="1" x14ac:dyDescent="0.2">
      <c r="B38" t="s">
        <v>135</v>
      </c>
      <c r="C38" s="12">
        <v>18</v>
      </c>
      <c r="D38" s="8">
        <v>1.88</v>
      </c>
      <c r="E38" s="12">
        <v>2</v>
      </c>
      <c r="F38" s="8">
        <v>0.63</v>
      </c>
      <c r="G38" s="12">
        <v>16</v>
      </c>
      <c r="H38" s="8">
        <v>2.5099999999999998</v>
      </c>
      <c r="I38" s="12">
        <v>0</v>
      </c>
    </row>
    <row r="39" spans="2:9" ht="15" customHeight="1" x14ac:dyDescent="0.2">
      <c r="B39" t="s">
        <v>106</v>
      </c>
      <c r="C39" s="12">
        <v>18</v>
      </c>
      <c r="D39" s="8">
        <v>1.88</v>
      </c>
      <c r="E39" s="12">
        <v>16</v>
      </c>
      <c r="F39" s="8">
        <v>5.03</v>
      </c>
      <c r="G39" s="12">
        <v>2</v>
      </c>
      <c r="H39" s="8">
        <v>0.31</v>
      </c>
      <c r="I39" s="12">
        <v>0</v>
      </c>
    </row>
    <row r="40" spans="2:9" ht="15" customHeight="1" x14ac:dyDescent="0.2">
      <c r="B40" t="s">
        <v>127</v>
      </c>
      <c r="C40" s="12">
        <v>17</v>
      </c>
      <c r="D40" s="8">
        <v>1.77</v>
      </c>
      <c r="E40" s="12">
        <v>2</v>
      </c>
      <c r="F40" s="8">
        <v>0.63</v>
      </c>
      <c r="G40" s="12">
        <v>15</v>
      </c>
      <c r="H40" s="8">
        <v>2.35</v>
      </c>
      <c r="I40" s="12">
        <v>0</v>
      </c>
    </row>
    <row r="41" spans="2:9" ht="15" customHeight="1" x14ac:dyDescent="0.2">
      <c r="B41" t="s">
        <v>117</v>
      </c>
      <c r="C41" s="12">
        <v>17</v>
      </c>
      <c r="D41" s="8">
        <v>1.77</v>
      </c>
      <c r="E41" s="12">
        <v>2</v>
      </c>
      <c r="F41" s="8">
        <v>0.63</v>
      </c>
      <c r="G41" s="12">
        <v>15</v>
      </c>
      <c r="H41" s="8">
        <v>2.35</v>
      </c>
      <c r="I41" s="12">
        <v>0</v>
      </c>
    </row>
    <row r="42" spans="2:9" ht="15" customHeight="1" x14ac:dyDescent="0.2">
      <c r="B42" t="s">
        <v>110</v>
      </c>
      <c r="C42" s="12">
        <v>16</v>
      </c>
      <c r="D42" s="8">
        <v>1.67</v>
      </c>
      <c r="E42" s="12">
        <v>2</v>
      </c>
      <c r="F42" s="8">
        <v>0.63</v>
      </c>
      <c r="G42" s="12">
        <v>14</v>
      </c>
      <c r="H42" s="8">
        <v>2.2000000000000002</v>
      </c>
      <c r="I42" s="12">
        <v>0</v>
      </c>
    </row>
    <row r="43" spans="2:9" ht="15" customHeight="1" x14ac:dyDescent="0.2">
      <c r="B43" t="s">
        <v>102</v>
      </c>
      <c r="C43" s="12">
        <v>15</v>
      </c>
      <c r="D43" s="8">
        <v>1.57</v>
      </c>
      <c r="E43" s="12">
        <v>7</v>
      </c>
      <c r="F43" s="8">
        <v>2.2000000000000002</v>
      </c>
      <c r="G43" s="12">
        <v>8</v>
      </c>
      <c r="H43" s="8">
        <v>1.26</v>
      </c>
      <c r="I43" s="12">
        <v>0</v>
      </c>
    </row>
    <row r="44" spans="2:9" ht="15" customHeight="1" x14ac:dyDescent="0.2">
      <c r="B44" t="s">
        <v>105</v>
      </c>
      <c r="C44" s="12">
        <v>15</v>
      </c>
      <c r="D44" s="8">
        <v>1.57</v>
      </c>
      <c r="E44" s="12">
        <v>12</v>
      </c>
      <c r="F44" s="8">
        <v>3.77</v>
      </c>
      <c r="G44" s="12">
        <v>2</v>
      </c>
      <c r="H44" s="8">
        <v>0.31</v>
      </c>
      <c r="I44" s="12">
        <v>0</v>
      </c>
    </row>
    <row r="47" spans="2:9" ht="33" customHeight="1" x14ac:dyDescent="0.2">
      <c r="B47" t="s">
        <v>282</v>
      </c>
      <c r="C47" s="10" t="s">
        <v>81</v>
      </c>
      <c r="D47" s="10" t="s">
        <v>82</v>
      </c>
      <c r="E47" s="10" t="s">
        <v>83</v>
      </c>
      <c r="F47" s="10" t="s">
        <v>84</v>
      </c>
      <c r="G47" s="10" t="s">
        <v>85</v>
      </c>
      <c r="H47" s="10" t="s">
        <v>86</v>
      </c>
      <c r="I47" s="10" t="s">
        <v>87</v>
      </c>
    </row>
    <row r="48" spans="2:9" ht="15" customHeight="1" x14ac:dyDescent="0.2">
      <c r="B48" t="s">
        <v>221</v>
      </c>
      <c r="C48" s="12">
        <v>42</v>
      </c>
      <c r="D48" s="8">
        <v>4.38</v>
      </c>
      <c r="E48" s="12">
        <v>18</v>
      </c>
      <c r="F48" s="8">
        <v>5.66</v>
      </c>
      <c r="G48" s="12">
        <v>24</v>
      </c>
      <c r="H48" s="8">
        <v>3.77</v>
      </c>
      <c r="I48" s="12">
        <v>0</v>
      </c>
    </row>
    <row r="49" spans="2:9" ht="15" customHeight="1" x14ac:dyDescent="0.2">
      <c r="B49" t="s">
        <v>210</v>
      </c>
      <c r="C49" s="12">
        <v>38</v>
      </c>
      <c r="D49" s="8">
        <v>3.97</v>
      </c>
      <c r="E49" s="12">
        <v>9</v>
      </c>
      <c r="F49" s="8">
        <v>2.83</v>
      </c>
      <c r="G49" s="12">
        <v>29</v>
      </c>
      <c r="H49" s="8">
        <v>4.55</v>
      </c>
      <c r="I49" s="12">
        <v>0</v>
      </c>
    </row>
    <row r="50" spans="2:9" ht="15" customHeight="1" x14ac:dyDescent="0.2">
      <c r="B50" t="s">
        <v>224</v>
      </c>
      <c r="C50" s="12">
        <v>36</v>
      </c>
      <c r="D50" s="8">
        <v>3.76</v>
      </c>
      <c r="E50" s="12">
        <v>18</v>
      </c>
      <c r="F50" s="8">
        <v>5.66</v>
      </c>
      <c r="G50" s="12">
        <v>18</v>
      </c>
      <c r="H50" s="8">
        <v>2.83</v>
      </c>
      <c r="I50" s="12">
        <v>0</v>
      </c>
    </row>
    <row r="51" spans="2:9" ht="15" customHeight="1" x14ac:dyDescent="0.2">
      <c r="B51" t="s">
        <v>162</v>
      </c>
      <c r="C51" s="12">
        <v>22</v>
      </c>
      <c r="D51" s="8">
        <v>2.2999999999999998</v>
      </c>
      <c r="E51" s="12">
        <v>1</v>
      </c>
      <c r="F51" s="8">
        <v>0.31</v>
      </c>
      <c r="G51" s="12">
        <v>21</v>
      </c>
      <c r="H51" s="8">
        <v>3.3</v>
      </c>
      <c r="I51" s="12">
        <v>0</v>
      </c>
    </row>
    <row r="52" spans="2:9" ht="15" customHeight="1" x14ac:dyDescent="0.2">
      <c r="B52" t="s">
        <v>171</v>
      </c>
      <c r="C52" s="12">
        <v>19</v>
      </c>
      <c r="D52" s="8">
        <v>1.98</v>
      </c>
      <c r="E52" s="12">
        <v>19</v>
      </c>
      <c r="F52" s="8">
        <v>5.97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172</v>
      </c>
      <c r="C53" s="12">
        <v>18</v>
      </c>
      <c r="D53" s="8">
        <v>1.88</v>
      </c>
      <c r="E53" s="12">
        <v>17</v>
      </c>
      <c r="F53" s="8">
        <v>5.35</v>
      </c>
      <c r="G53" s="12">
        <v>1</v>
      </c>
      <c r="H53" s="8">
        <v>0.16</v>
      </c>
      <c r="I53" s="12">
        <v>0</v>
      </c>
    </row>
    <row r="54" spans="2:9" ht="15" customHeight="1" x14ac:dyDescent="0.2">
      <c r="B54" t="s">
        <v>208</v>
      </c>
      <c r="C54" s="12">
        <v>17</v>
      </c>
      <c r="D54" s="8">
        <v>1.77</v>
      </c>
      <c r="E54" s="12">
        <v>4</v>
      </c>
      <c r="F54" s="8">
        <v>1.26</v>
      </c>
      <c r="G54" s="12">
        <v>13</v>
      </c>
      <c r="H54" s="8">
        <v>2.04</v>
      </c>
      <c r="I54" s="12">
        <v>0</v>
      </c>
    </row>
    <row r="55" spans="2:9" ht="15" customHeight="1" x14ac:dyDescent="0.2">
      <c r="B55" t="s">
        <v>206</v>
      </c>
      <c r="C55" s="12">
        <v>16</v>
      </c>
      <c r="D55" s="8">
        <v>1.67</v>
      </c>
      <c r="E55" s="12">
        <v>2</v>
      </c>
      <c r="F55" s="8">
        <v>0.63</v>
      </c>
      <c r="G55" s="12">
        <v>14</v>
      </c>
      <c r="H55" s="8">
        <v>2.2000000000000002</v>
      </c>
      <c r="I55" s="12">
        <v>0</v>
      </c>
    </row>
    <row r="56" spans="2:9" ht="15" customHeight="1" x14ac:dyDescent="0.2">
      <c r="B56" t="s">
        <v>220</v>
      </c>
      <c r="C56" s="12">
        <v>15</v>
      </c>
      <c r="D56" s="8">
        <v>1.57</v>
      </c>
      <c r="E56" s="12">
        <v>1</v>
      </c>
      <c r="F56" s="8">
        <v>0.31</v>
      </c>
      <c r="G56" s="12">
        <v>14</v>
      </c>
      <c r="H56" s="8">
        <v>2.2000000000000002</v>
      </c>
      <c r="I56" s="12">
        <v>0</v>
      </c>
    </row>
    <row r="57" spans="2:9" ht="15" customHeight="1" x14ac:dyDescent="0.2">
      <c r="B57" t="s">
        <v>223</v>
      </c>
      <c r="C57" s="12">
        <v>15</v>
      </c>
      <c r="D57" s="8">
        <v>1.57</v>
      </c>
      <c r="E57" s="12">
        <v>9</v>
      </c>
      <c r="F57" s="8">
        <v>2.83</v>
      </c>
      <c r="G57" s="12">
        <v>6</v>
      </c>
      <c r="H57" s="8">
        <v>0.94</v>
      </c>
      <c r="I57" s="12">
        <v>0</v>
      </c>
    </row>
    <row r="58" spans="2:9" ht="15" customHeight="1" x14ac:dyDescent="0.2">
      <c r="B58" t="s">
        <v>227</v>
      </c>
      <c r="C58" s="12">
        <v>15</v>
      </c>
      <c r="D58" s="8">
        <v>1.57</v>
      </c>
      <c r="E58" s="12">
        <v>5</v>
      </c>
      <c r="F58" s="8">
        <v>1.57</v>
      </c>
      <c r="G58" s="12">
        <v>10</v>
      </c>
      <c r="H58" s="8">
        <v>1.57</v>
      </c>
      <c r="I58" s="12">
        <v>0</v>
      </c>
    </row>
    <row r="59" spans="2:9" ht="15" customHeight="1" x14ac:dyDescent="0.2">
      <c r="B59" t="s">
        <v>192</v>
      </c>
      <c r="C59" s="12">
        <v>15</v>
      </c>
      <c r="D59" s="8">
        <v>1.57</v>
      </c>
      <c r="E59" s="12">
        <v>4</v>
      </c>
      <c r="F59" s="8">
        <v>1.26</v>
      </c>
      <c r="G59" s="12">
        <v>11</v>
      </c>
      <c r="H59" s="8">
        <v>1.73</v>
      </c>
      <c r="I59" s="12">
        <v>0</v>
      </c>
    </row>
    <row r="60" spans="2:9" ht="15" customHeight="1" x14ac:dyDescent="0.2">
      <c r="B60" t="s">
        <v>231</v>
      </c>
      <c r="C60" s="12">
        <v>15</v>
      </c>
      <c r="D60" s="8">
        <v>1.57</v>
      </c>
      <c r="E60" s="12">
        <v>3</v>
      </c>
      <c r="F60" s="8">
        <v>0.94</v>
      </c>
      <c r="G60" s="12">
        <v>12</v>
      </c>
      <c r="H60" s="8">
        <v>1.88</v>
      </c>
      <c r="I60" s="12">
        <v>0</v>
      </c>
    </row>
    <row r="61" spans="2:9" ht="15" customHeight="1" x14ac:dyDescent="0.2">
      <c r="B61" t="s">
        <v>209</v>
      </c>
      <c r="C61" s="12">
        <v>14</v>
      </c>
      <c r="D61" s="8">
        <v>1.46</v>
      </c>
      <c r="E61" s="12">
        <v>4</v>
      </c>
      <c r="F61" s="8">
        <v>1.26</v>
      </c>
      <c r="G61" s="12">
        <v>10</v>
      </c>
      <c r="H61" s="8">
        <v>1.57</v>
      </c>
      <c r="I61" s="12">
        <v>0</v>
      </c>
    </row>
    <row r="62" spans="2:9" ht="15" customHeight="1" x14ac:dyDescent="0.2">
      <c r="B62" t="s">
        <v>168</v>
      </c>
      <c r="C62" s="12">
        <v>14</v>
      </c>
      <c r="D62" s="8">
        <v>1.46</v>
      </c>
      <c r="E62" s="12">
        <v>8</v>
      </c>
      <c r="F62" s="8">
        <v>2.52</v>
      </c>
      <c r="G62" s="12">
        <v>6</v>
      </c>
      <c r="H62" s="8">
        <v>0.94</v>
      </c>
      <c r="I62" s="12">
        <v>0</v>
      </c>
    </row>
    <row r="63" spans="2:9" ht="15" customHeight="1" x14ac:dyDescent="0.2">
      <c r="B63" t="s">
        <v>202</v>
      </c>
      <c r="C63" s="12">
        <v>13</v>
      </c>
      <c r="D63" s="8">
        <v>1.36</v>
      </c>
      <c r="E63" s="12">
        <v>1</v>
      </c>
      <c r="F63" s="8">
        <v>0.31</v>
      </c>
      <c r="G63" s="12">
        <v>12</v>
      </c>
      <c r="H63" s="8">
        <v>1.88</v>
      </c>
      <c r="I63" s="12">
        <v>0</v>
      </c>
    </row>
    <row r="64" spans="2:9" ht="15" customHeight="1" x14ac:dyDescent="0.2">
      <c r="B64" t="s">
        <v>158</v>
      </c>
      <c r="C64" s="12">
        <v>13</v>
      </c>
      <c r="D64" s="8">
        <v>1.36</v>
      </c>
      <c r="E64" s="12">
        <v>7</v>
      </c>
      <c r="F64" s="8">
        <v>2.2000000000000002</v>
      </c>
      <c r="G64" s="12">
        <v>6</v>
      </c>
      <c r="H64" s="8">
        <v>0.94</v>
      </c>
      <c r="I64" s="12">
        <v>0</v>
      </c>
    </row>
    <row r="65" spans="2:9" ht="15" customHeight="1" x14ac:dyDescent="0.2">
      <c r="B65" t="s">
        <v>230</v>
      </c>
      <c r="C65" s="12">
        <v>12</v>
      </c>
      <c r="D65" s="8">
        <v>1.25</v>
      </c>
      <c r="E65" s="12">
        <v>1</v>
      </c>
      <c r="F65" s="8">
        <v>0.31</v>
      </c>
      <c r="G65" s="12">
        <v>11</v>
      </c>
      <c r="H65" s="8">
        <v>1.73</v>
      </c>
      <c r="I65" s="12">
        <v>0</v>
      </c>
    </row>
    <row r="66" spans="2:9" ht="15" customHeight="1" x14ac:dyDescent="0.2">
      <c r="B66" t="s">
        <v>161</v>
      </c>
      <c r="C66" s="12">
        <v>12</v>
      </c>
      <c r="D66" s="8">
        <v>1.25</v>
      </c>
      <c r="E66" s="12">
        <v>0</v>
      </c>
      <c r="F66" s="8">
        <v>0</v>
      </c>
      <c r="G66" s="12">
        <v>12</v>
      </c>
      <c r="H66" s="8">
        <v>1.88</v>
      </c>
      <c r="I66" s="12">
        <v>0</v>
      </c>
    </row>
    <row r="67" spans="2:9" ht="15" customHeight="1" x14ac:dyDescent="0.2">
      <c r="B67" t="s">
        <v>175</v>
      </c>
      <c r="C67" s="12">
        <v>12</v>
      </c>
      <c r="D67" s="8">
        <v>1.25</v>
      </c>
      <c r="E67" s="12">
        <v>11</v>
      </c>
      <c r="F67" s="8">
        <v>3.46</v>
      </c>
      <c r="G67" s="12">
        <v>1</v>
      </c>
      <c r="H67" s="8">
        <v>0.16</v>
      </c>
      <c r="I67" s="12">
        <v>0</v>
      </c>
    </row>
    <row r="69" spans="2:9" ht="15" customHeight="1" x14ac:dyDescent="0.2">
      <c r="B6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0A4B-EA6F-4327-A3E4-73A5C7602019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75</v>
      </c>
      <c r="D6" s="8">
        <v>21.93</v>
      </c>
      <c r="E6" s="12">
        <v>29</v>
      </c>
      <c r="F6" s="8">
        <v>20.14</v>
      </c>
      <c r="G6" s="12">
        <v>46</v>
      </c>
      <c r="H6" s="8">
        <v>23.71</v>
      </c>
      <c r="I6" s="12">
        <v>0</v>
      </c>
    </row>
    <row r="7" spans="2:9" ht="15" customHeight="1" x14ac:dyDescent="0.2">
      <c r="B7" t="s">
        <v>67</v>
      </c>
      <c r="C7" s="12">
        <v>55</v>
      </c>
      <c r="D7" s="8">
        <v>16.079999999999998</v>
      </c>
      <c r="E7" s="12">
        <v>14</v>
      </c>
      <c r="F7" s="8">
        <v>9.7200000000000006</v>
      </c>
      <c r="G7" s="12">
        <v>41</v>
      </c>
      <c r="H7" s="8">
        <v>21.13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0.28999999999999998</v>
      </c>
      <c r="E8" s="12">
        <v>0</v>
      </c>
      <c r="F8" s="8">
        <v>0</v>
      </c>
      <c r="G8" s="12">
        <v>1</v>
      </c>
      <c r="H8" s="8">
        <v>0.52</v>
      </c>
      <c r="I8" s="12">
        <v>0</v>
      </c>
    </row>
    <row r="9" spans="2:9" ht="15" customHeight="1" x14ac:dyDescent="0.2">
      <c r="B9" t="s">
        <v>69</v>
      </c>
      <c r="C9" s="12">
        <v>3</v>
      </c>
      <c r="D9" s="8">
        <v>0.88</v>
      </c>
      <c r="E9" s="12">
        <v>0</v>
      </c>
      <c r="F9" s="8">
        <v>0</v>
      </c>
      <c r="G9" s="12">
        <v>3</v>
      </c>
      <c r="H9" s="8">
        <v>1.55</v>
      </c>
      <c r="I9" s="12">
        <v>0</v>
      </c>
    </row>
    <row r="10" spans="2:9" ht="15" customHeight="1" x14ac:dyDescent="0.2">
      <c r="B10" t="s">
        <v>70</v>
      </c>
      <c r="C10" s="12">
        <v>6</v>
      </c>
      <c r="D10" s="8">
        <v>1.75</v>
      </c>
      <c r="E10" s="12">
        <v>0</v>
      </c>
      <c r="F10" s="8">
        <v>0</v>
      </c>
      <c r="G10" s="12">
        <v>6</v>
      </c>
      <c r="H10" s="8">
        <v>3.09</v>
      </c>
      <c r="I10" s="12">
        <v>0</v>
      </c>
    </row>
    <row r="11" spans="2:9" ht="15" customHeight="1" x14ac:dyDescent="0.2">
      <c r="B11" t="s">
        <v>71</v>
      </c>
      <c r="C11" s="12">
        <v>77</v>
      </c>
      <c r="D11" s="8">
        <v>22.51</v>
      </c>
      <c r="E11" s="12">
        <v>32</v>
      </c>
      <c r="F11" s="8">
        <v>22.22</v>
      </c>
      <c r="G11" s="12">
        <v>44</v>
      </c>
      <c r="H11" s="8">
        <v>22.68</v>
      </c>
      <c r="I11" s="12">
        <v>1</v>
      </c>
    </row>
    <row r="12" spans="2:9" ht="15" customHeight="1" x14ac:dyDescent="0.2">
      <c r="B12" t="s">
        <v>72</v>
      </c>
      <c r="C12" s="12">
        <v>2</v>
      </c>
      <c r="D12" s="8">
        <v>0.57999999999999996</v>
      </c>
      <c r="E12" s="12">
        <v>1</v>
      </c>
      <c r="F12" s="8">
        <v>0.69</v>
      </c>
      <c r="G12" s="12">
        <v>1</v>
      </c>
      <c r="H12" s="8">
        <v>0.52</v>
      </c>
      <c r="I12" s="12">
        <v>0</v>
      </c>
    </row>
    <row r="13" spans="2:9" ht="15" customHeight="1" x14ac:dyDescent="0.2">
      <c r="B13" t="s">
        <v>73</v>
      </c>
      <c r="C13" s="12">
        <v>16</v>
      </c>
      <c r="D13" s="8">
        <v>4.68</v>
      </c>
      <c r="E13" s="12">
        <v>2</v>
      </c>
      <c r="F13" s="8">
        <v>1.39</v>
      </c>
      <c r="G13" s="12">
        <v>14</v>
      </c>
      <c r="H13" s="8">
        <v>7.22</v>
      </c>
      <c r="I13" s="12">
        <v>0</v>
      </c>
    </row>
    <row r="14" spans="2:9" ht="15" customHeight="1" x14ac:dyDescent="0.2">
      <c r="B14" t="s">
        <v>74</v>
      </c>
      <c r="C14" s="12">
        <v>9</v>
      </c>
      <c r="D14" s="8">
        <v>2.63</v>
      </c>
      <c r="E14" s="12">
        <v>5</v>
      </c>
      <c r="F14" s="8">
        <v>3.47</v>
      </c>
      <c r="G14" s="12">
        <v>4</v>
      </c>
      <c r="H14" s="8">
        <v>2.06</v>
      </c>
      <c r="I14" s="12">
        <v>0</v>
      </c>
    </row>
    <row r="15" spans="2:9" ht="15" customHeight="1" x14ac:dyDescent="0.2">
      <c r="B15" t="s">
        <v>75</v>
      </c>
      <c r="C15" s="12">
        <v>22</v>
      </c>
      <c r="D15" s="8">
        <v>6.43</v>
      </c>
      <c r="E15" s="12">
        <v>18</v>
      </c>
      <c r="F15" s="8">
        <v>12.5</v>
      </c>
      <c r="G15" s="12">
        <v>4</v>
      </c>
      <c r="H15" s="8">
        <v>2.06</v>
      </c>
      <c r="I15" s="12">
        <v>0</v>
      </c>
    </row>
    <row r="16" spans="2:9" ht="15" customHeight="1" x14ac:dyDescent="0.2">
      <c r="B16" t="s">
        <v>76</v>
      </c>
      <c r="C16" s="12">
        <v>30</v>
      </c>
      <c r="D16" s="8">
        <v>8.77</v>
      </c>
      <c r="E16" s="12">
        <v>23</v>
      </c>
      <c r="F16" s="8">
        <v>15.97</v>
      </c>
      <c r="G16" s="12">
        <v>6</v>
      </c>
      <c r="H16" s="8">
        <v>3.09</v>
      </c>
      <c r="I16" s="12">
        <v>0</v>
      </c>
    </row>
    <row r="17" spans="2:9" ht="15" customHeight="1" x14ac:dyDescent="0.2">
      <c r="B17" t="s">
        <v>77</v>
      </c>
      <c r="C17" s="12">
        <v>10</v>
      </c>
      <c r="D17" s="8">
        <v>2.92</v>
      </c>
      <c r="E17" s="12">
        <v>9</v>
      </c>
      <c r="F17" s="8">
        <v>6.25</v>
      </c>
      <c r="G17" s="12">
        <v>1</v>
      </c>
      <c r="H17" s="8">
        <v>0.52</v>
      </c>
      <c r="I17" s="12">
        <v>0</v>
      </c>
    </row>
    <row r="18" spans="2:9" ht="15" customHeight="1" x14ac:dyDescent="0.2">
      <c r="B18" t="s">
        <v>78</v>
      </c>
      <c r="C18" s="12">
        <v>19</v>
      </c>
      <c r="D18" s="8">
        <v>5.56</v>
      </c>
      <c r="E18" s="12">
        <v>7</v>
      </c>
      <c r="F18" s="8">
        <v>4.8600000000000003</v>
      </c>
      <c r="G18" s="12">
        <v>10</v>
      </c>
      <c r="H18" s="8">
        <v>5.15</v>
      </c>
      <c r="I18" s="12">
        <v>0</v>
      </c>
    </row>
    <row r="19" spans="2:9" ht="15" customHeight="1" x14ac:dyDescent="0.2">
      <c r="B19" t="s">
        <v>79</v>
      </c>
      <c r="C19" s="12">
        <v>17</v>
      </c>
      <c r="D19" s="8">
        <v>4.97</v>
      </c>
      <c r="E19" s="12">
        <v>4</v>
      </c>
      <c r="F19" s="8">
        <v>2.78</v>
      </c>
      <c r="G19" s="12">
        <v>13</v>
      </c>
      <c r="H19" s="8">
        <v>6.7</v>
      </c>
      <c r="I19" s="12">
        <v>0</v>
      </c>
    </row>
    <row r="20" spans="2:9" ht="15" customHeight="1" x14ac:dyDescent="0.2">
      <c r="B20" s="9" t="s">
        <v>280</v>
      </c>
      <c r="C20" s="12">
        <f>SUM(LTBL_13305[総数／事業所数])</f>
        <v>342</v>
      </c>
      <c r="E20" s="12">
        <f>SUBTOTAL(109,LTBL_13305[個人／事業所数])</f>
        <v>144</v>
      </c>
      <c r="G20" s="12">
        <f>SUBTOTAL(109,LTBL_13305[法人／事業所数])</f>
        <v>194</v>
      </c>
      <c r="I20" s="12">
        <f>SUBTOTAL(109,LTBL_13305[法人以外の団体／事業所数])</f>
        <v>1</v>
      </c>
    </row>
    <row r="21" spans="2:9" ht="15" customHeight="1" x14ac:dyDescent="0.2">
      <c r="E21" s="11">
        <f>LTBL_13305[[#Totals],[個人／事業所数]]/LTBL_13305[[#Totals],[総数／事業所数]]</f>
        <v>0.42105263157894735</v>
      </c>
      <c r="G21" s="11">
        <f>LTBL_13305[[#Totals],[法人／事業所数]]/LTBL_13305[[#Totals],[総数／事業所数]]</f>
        <v>0.56725146198830412</v>
      </c>
      <c r="I21" s="11">
        <f>LTBL_13305[[#Totals],[法人以外の団体／事業所数]]/LTBL_13305[[#Totals],[総数／事業所数]]</f>
        <v>2.9239766081871343E-3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88</v>
      </c>
      <c r="C24" s="12">
        <v>34</v>
      </c>
      <c r="D24" s="8">
        <v>9.94</v>
      </c>
      <c r="E24" s="12">
        <v>14</v>
      </c>
      <c r="F24" s="8">
        <v>9.7200000000000006</v>
      </c>
      <c r="G24" s="12">
        <v>20</v>
      </c>
      <c r="H24" s="8">
        <v>10.31</v>
      </c>
      <c r="I24" s="12">
        <v>0</v>
      </c>
    </row>
    <row r="25" spans="2:9" ht="15" customHeight="1" x14ac:dyDescent="0.2">
      <c r="B25" t="s">
        <v>89</v>
      </c>
      <c r="C25" s="12">
        <v>27</v>
      </c>
      <c r="D25" s="8">
        <v>7.89</v>
      </c>
      <c r="E25" s="12">
        <v>14</v>
      </c>
      <c r="F25" s="8">
        <v>9.7200000000000006</v>
      </c>
      <c r="G25" s="12">
        <v>13</v>
      </c>
      <c r="H25" s="8">
        <v>6.7</v>
      </c>
      <c r="I25" s="12">
        <v>0</v>
      </c>
    </row>
    <row r="26" spans="2:9" ht="15" customHeight="1" x14ac:dyDescent="0.2">
      <c r="B26" t="s">
        <v>98</v>
      </c>
      <c r="C26" s="12">
        <v>23</v>
      </c>
      <c r="D26" s="8">
        <v>6.73</v>
      </c>
      <c r="E26" s="12">
        <v>11</v>
      </c>
      <c r="F26" s="8">
        <v>7.64</v>
      </c>
      <c r="G26" s="12">
        <v>12</v>
      </c>
      <c r="H26" s="8">
        <v>6.19</v>
      </c>
      <c r="I26" s="12">
        <v>0</v>
      </c>
    </row>
    <row r="27" spans="2:9" ht="15" customHeight="1" x14ac:dyDescent="0.2">
      <c r="B27" t="s">
        <v>104</v>
      </c>
      <c r="C27" s="12">
        <v>22</v>
      </c>
      <c r="D27" s="8">
        <v>6.43</v>
      </c>
      <c r="E27" s="12">
        <v>20</v>
      </c>
      <c r="F27" s="8">
        <v>13.89</v>
      </c>
      <c r="G27" s="12">
        <v>2</v>
      </c>
      <c r="H27" s="8">
        <v>1.03</v>
      </c>
      <c r="I27" s="12">
        <v>0</v>
      </c>
    </row>
    <row r="28" spans="2:9" ht="15" customHeight="1" x14ac:dyDescent="0.2">
      <c r="B28" t="s">
        <v>117</v>
      </c>
      <c r="C28" s="12">
        <v>19</v>
      </c>
      <c r="D28" s="8">
        <v>5.56</v>
      </c>
      <c r="E28" s="12">
        <v>7</v>
      </c>
      <c r="F28" s="8">
        <v>4.8600000000000003</v>
      </c>
      <c r="G28" s="12">
        <v>12</v>
      </c>
      <c r="H28" s="8">
        <v>6.19</v>
      </c>
      <c r="I28" s="12">
        <v>0</v>
      </c>
    </row>
    <row r="29" spans="2:9" ht="15" customHeight="1" x14ac:dyDescent="0.2">
      <c r="B29" t="s">
        <v>103</v>
      </c>
      <c r="C29" s="12">
        <v>19</v>
      </c>
      <c r="D29" s="8">
        <v>5.56</v>
      </c>
      <c r="E29" s="12">
        <v>17</v>
      </c>
      <c r="F29" s="8">
        <v>11.81</v>
      </c>
      <c r="G29" s="12">
        <v>2</v>
      </c>
      <c r="H29" s="8">
        <v>1.03</v>
      </c>
      <c r="I29" s="12">
        <v>0</v>
      </c>
    </row>
    <row r="30" spans="2:9" ht="15" customHeight="1" x14ac:dyDescent="0.2">
      <c r="B30" t="s">
        <v>90</v>
      </c>
      <c r="C30" s="12">
        <v>14</v>
      </c>
      <c r="D30" s="8">
        <v>4.09</v>
      </c>
      <c r="E30" s="12">
        <v>1</v>
      </c>
      <c r="F30" s="8">
        <v>0.69</v>
      </c>
      <c r="G30" s="12">
        <v>13</v>
      </c>
      <c r="H30" s="8">
        <v>6.7</v>
      </c>
      <c r="I30" s="12">
        <v>0</v>
      </c>
    </row>
    <row r="31" spans="2:9" ht="15" customHeight="1" x14ac:dyDescent="0.2">
      <c r="B31" t="s">
        <v>100</v>
      </c>
      <c r="C31" s="12">
        <v>12</v>
      </c>
      <c r="D31" s="8">
        <v>3.51</v>
      </c>
      <c r="E31" s="12">
        <v>2</v>
      </c>
      <c r="F31" s="8">
        <v>1.39</v>
      </c>
      <c r="G31" s="12">
        <v>10</v>
      </c>
      <c r="H31" s="8">
        <v>5.15</v>
      </c>
      <c r="I31" s="12">
        <v>0</v>
      </c>
    </row>
    <row r="32" spans="2:9" ht="15" customHeight="1" x14ac:dyDescent="0.2">
      <c r="B32" t="s">
        <v>132</v>
      </c>
      <c r="C32" s="12">
        <v>12</v>
      </c>
      <c r="D32" s="8">
        <v>3.51</v>
      </c>
      <c r="E32" s="12">
        <v>1</v>
      </c>
      <c r="F32" s="8">
        <v>0.69</v>
      </c>
      <c r="G32" s="12">
        <v>9</v>
      </c>
      <c r="H32" s="8">
        <v>4.6399999999999997</v>
      </c>
      <c r="I32" s="12">
        <v>0</v>
      </c>
    </row>
    <row r="33" spans="2:9" ht="15" customHeight="1" x14ac:dyDescent="0.2">
      <c r="B33" t="s">
        <v>95</v>
      </c>
      <c r="C33" s="12">
        <v>11</v>
      </c>
      <c r="D33" s="8">
        <v>3.22</v>
      </c>
      <c r="E33" s="12">
        <v>4</v>
      </c>
      <c r="F33" s="8">
        <v>2.78</v>
      </c>
      <c r="G33" s="12">
        <v>7</v>
      </c>
      <c r="H33" s="8">
        <v>3.61</v>
      </c>
      <c r="I33" s="12">
        <v>0</v>
      </c>
    </row>
    <row r="34" spans="2:9" ht="15" customHeight="1" x14ac:dyDescent="0.2">
      <c r="B34" t="s">
        <v>97</v>
      </c>
      <c r="C34" s="12">
        <v>11</v>
      </c>
      <c r="D34" s="8">
        <v>3.22</v>
      </c>
      <c r="E34" s="12">
        <v>4</v>
      </c>
      <c r="F34" s="8">
        <v>2.78</v>
      </c>
      <c r="G34" s="12">
        <v>7</v>
      </c>
      <c r="H34" s="8">
        <v>3.61</v>
      </c>
      <c r="I34" s="12">
        <v>0</v>
      </c>
    </row>
    <row r="35" spans="2:9" ht="15" customHeight="1" x14ac:dyDescent="0.2">
      <c r="B35" t="s">
        <v>105</v>
      </c>
      <c r="C35" s="12">
        <v>10</v>
      </c>
      <c r="D35" s="8">
        <v>2.92</v>
      </c>
      <c r="E35" s="12">
        <v>9</v>
      </c>
      <c r="F35" s="8">
        <v>6.25</v>
      </c>
      <c r="G35" s="12">
        <v>1</v>
      </c>
      <c r="H35" s="8">
        <v>0.52</v>
      </c>
      <c r="I35" s="12">
        <v>0</v>
      </c>
    </row>
    <row r="36" spans="2:9" ht="15" customHeight="1" x14ac:dyDescent="0.2">
      <c r="B36" t="s">
        <v>96</v>
      </c>
      <c r="C36" s="12">
        <v>9</v>
      </c>
      <c r="D36" s="8">
        <v>2.63</v>
      </c>
      <c r="E36" s="12">
        <v>7</v>
      </c>
      <c r="F36" s="8">
        <v>4.8600000000000003</v>
      </c>
      <c r="G36" s="12">
        <v>2</v>
      </c>
      <c r="H36" s="8">
        <v>1.03</v>
      </c>
      <c r="I36" s="12">
        <v>0</v>
      </c>
    </row>
    <row r="37" spans="2:9" ht="15" customHeight="1" x14ac:dyDescent="0.2">
      <c r="B37" t="s">
        <v>110</v>
      </c>
      <c r="C37" s="12">
        <v>8</v>
      </c>
      <c r="D37" s="8">
        <v>2.34</v>
      </c>
      <c r="E37" s="12">
        <v>2</v>
      </c>
      <c r="F37" s="8">
        <v>1.39</v>
      </c>
      <c r="G37" s="12">
        <v>6</v>
      </c>
      <c r="H37" s="8">
        <v>3.09</v>
      </c>
      <c r="I37" s="12">
        <v>0</v>
      </c>
    </row>
    <row r="38" spans="2:9" ht="15" customHeight="1" x14ac:dyDescent="0.2">
      <c r="B38" t="s">
        <v>115</v>
      </c>
      <c r="C38" s="12">
        <v>8</v>
      </c>
      <c r="D38" s="8">
        <v>2.34</v>
      </c>
      <c r="E38" s="12">
        <v>3</v>
      </c>
      <c r="F38" s="8">
        <v>2.08</v>
      </c>
      <c r="G38" s="12">
        <v>4</v>
      </c>
      <c r="H38" s="8">
        <v>2.06</v>
      </c>
      <c r="I38" s="12">
        <v>0</v>
      </c>
    </row>
    <row r="39" spans="2:9" ht="15" customHeight="1" x14ac:dyDescent="0.2">
      <c r="B39" t="s">
        <v>136</v>
      </c>
      <c r="C39" s="12">
        <v>7</v>
      </c>
      <c r="D39" s="8">
        <v>2.0499999999999998</v>
      </c>
      <c r="E39" s="12">
        <v>2</v>
      </c>
      <c r="F39" s="8">
        <v>1.39</v>
      </c>
      <c r="G39" s="12">
        <v>5</v>
      </c>
      <c r="H39" s="8">
        <v>2.58</v>
      </c>
      <c r="I39" s="12">
        <v>0</v>
      </c>
    </row>
    <row r="40" spans="2:9" ht="15" customHeight="1" x14ac:dyDescent="0.2">
      <c r="B40" t="s">
        <v>106</v>
      </c>
      <c r="C40" s="12">
        <v>7</v>
      </c>
      <c r="D40" s="8">
        <v>2.0499999999999998</v>
      </c>
      <c r="E40" s="12">
        <v>6</v>
      </c>
      <c r="F40" s="8">
        <v>4.17</v>
      </c>
      <c r="G40" s="12">
        <v>1</v>
      </c>
      <c r="H40" s="8">
        <v>0.52</v>
      </c>
      <c r="I40" s="12">
        <v>0</v>
      </c>
    </row>
    <row r="41" spans="2:9" ht="15" customHeight="1" x14ac:dyDescent="0.2">
      <c r="B41" t="s">
        <v>133</v>
      </c>
      <c r="C41" s="12">
        <v>7</v>
      </c>
      <c r="D41" s="8">
        <v>2.0499999999999998</v>
      </c>
      <c r="E41" s="12">
        <v>4</v>
      </c>
      <c r="F41" s="8">
        <v>2.78</v>
      </c>
      <c r="G41" s="12">
        <v>3</v>
      </c>
      <c r="H41" s="8">
        <v>1.55</v>
      </c>
      <c r="I41" s="12">
        <v>0</v>
      </c>
    </row>
    <row r="42" spans="2:9" ht="15" customHeight="1" x14ac:dyDescent="0.2">
      <c r="B42" t="s">
        <v>137</v>
      </c>
      <c r="C42" s="12">
        <v>6</v>
      </c>
      <c r="D42" s="8">
        <v>1.75</v>
      </c>
      <c r="E42" s="12">
        <v>4</v>
      </c>
      <c r="F42" s="8">
        <v>2.78</v>
      </c>
      <c r="G42" s="12">
        <v>2</v>
      </c>
      <c r="H42" s="8">
        <v>1.03</v>
      </c>
      <c r="I42" s="12">
        <v>0</v>
      </c>
    </row>
    <row r="43" spans="2:9" ht="15" customHeight="1" x14ac:dyDescent="0.2">
      <c r="B43" t="s">
        <v>129</v>
      </c>
      <c r="C43" s="12">
        <v>6</v>
      </c>
      <c r="D43" s="8">
        <v>1.75</v>
      </c>
      <c r="E43" s="12">
        <v>2</v>
      </c>
      <c r="F43" s="8">
        <v>1.39</v>
      </c>
      <c r="G43" s="12">
        <v>4</v>
      </c>
      <c r="H43" s="8">
        <v>2.06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232</v>
      </c>
      <c r="C47" s="12">
        <v>16</v>
      </c>
      <c r="D47" s="8">
        <v>4.68</v>
      </c>
      <c r="E47" s="12">
        <v>7</v>
      </c>
      <c r="F47" s="8">
        <v>4.8600000000000003</v>
      </c>
      <c r="G47" s="12">
        <v>9</v>
      </c>
      <c r="H47" s="8">
        <v>4.6399999999999997</v>
      </c>
      <c r="I47" s="12">
        <v>0</v>
      </c>
    </row>
    <row r="48" spans="2:9" ht="15" customHeight="1" x14ac:dyDescent="0.2">
      <c r="B48" t="s">
        <v>223</v>
      </c>
      <c r="C48" s="12">
        <v>13</v>
      </c>
      <c r="D48" s="8">
        <v>3.8</v>
      </c>
      <c r="E48" s="12">
        <v>8</v>
      </c>
      <c r="F48" s="8">
        <v>5.56</v>
      </c>
      <c r="G48" s="12">
        <v>5</v>
      </c>
      <c r="H48" s="8">
        <v>2.58</v>
      </c>
      <c r="I48" s="12">
        <v>0</v>
      </c>
    </row>
    <row r="49" spans="2:9" ht="15" customHeight="1" x14ac:dyDescent="0.2">
      <c r="B49" t="s">
        <v>220</v>
      </c>
      <c r="C49" s="12">
        <v>11</v>
      </c>
      <c r="D49" s="8">
        <v>3.22</v>
      </c>
      <c r="E49" s="12">
        <v>1</v>
      </c>
      <c r="F49" s="8">
        <v>0.69</v>
      </c>
      <c r="G49" s="12">
        <v>10</v>
      </c>
      <c r="H49" s="8">
        <v>5.15</v>
      </c>
      <c r="I49" s="12">
        <v>0</v>
      </c>
    </row>
    <row r="50" spans="2:9" ht="15" customHeight="1" x14ac:dyDescent="0.2">
      <c r="B50" t="s">
        <v>159</v>
      </c>
      <c r="C50" s="12">
        <v>11</v>
      </c>
      <c r="D50" s="8">
        <v>3.22</v>
      </c>
      <c r="E50" s="12">
        <v>6</v>
      </c>
      <c r="F50" s="8">
        <v>4.17</v>
      </c>
      <c r="G50" s="12">
        <v>5</v>
      </c>
      <c r="H50" s="8">
        <v>2.58</v>
      </c>
      <c r="I50" s="12">
        <v>0</v>
      </c>
    </row>
    <row r="51" spans="2:9" ht="15" customHeight="1" x14ac:dyDescent="0.2">
      <c r="B51" t="s">
        <v>172</v>
      </c>
      <c r="C51" s="12">
        <v>10</v>
      </c>
      <c r="D51" s="8">
        <v>2.92</v>
      </c>
      <c r="E51" s="12">
        <v>10</v>
      </c>
      <c r="F51" s="8">
        <v>6.94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226</v>
      </c>
      <c r="C52" s="12">
        <v>9</v>
      </c>
      <c r="D52" s="8">
        <v>2.63</v>
      </c>
      <c r="E52" s="12">
        <v>3</v>
      </c>
      <c r="F52" s="8">
        <v>2.08</v>
      </c>
      <c r="G52" s="12">
        <v>6</v>
      </c>
      <c r="H52" s="8">
        <v>3.09</v>
      </c>
      <c r="I52" s="12">
        <v>0</v>
      </c>
    </row>
    <row r="53" spans="2:9" ht="15" customHeight="1" x14ac:dyDescent="0.2">
      <c r="B53" t="s">
        <v>171</v>
      </c>
      <c r="C53" s="12">
        <v>7</v>
      </c>
      <c r="D53" s="8">
        <v>2.0499999999999998</v>
      </c>
      <c r="E53" s="12">
        <v>7</v>
      </c>
      <c r="F53" s="8">
        <v>4.8600000000000003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173</v>
      </c>
      <c r="C54" s="12">
        <v>7</v>
      </c>
      <c r="D54" s="8">
        <v>2.0499999999999998</v>
      </c>
      <c r="E54" s="12">
        <v>6</v>
      </c>
      <c r="F54" s="8">
        <v>4.17</v>
      </c>
      <c r="G54" s="12">
        <v>1</v>
      </c>
      <c r="H54" s="8">
        <v>0.52</v>
      </c>
      <c r="I54" s="12">
        <v>0</v>
      </c>
    </row>
    <row r="55" spans="2:9" ht="15" customHeight="1" x14ac:dyDescent="0.2">
      <c r="B55" t="s">
        <v>224</v>
      </c>
      <c r="C55" s="12">
        <v>7</v>
      </c>
      <c r="D55" s="8">
        <v>2.0499999999999998</v>
      </c>
      <c r="E55" s="12">
        <v>4</v>
      </c>
      <c r="F55" s="8">
        <v>2.78</v>
      </c>
      <c r="G55" s="12">
        <v>3</v>
      </c>
      <c r="H55" s="8">
        <v>1.55</v>
      </c>
      <c r="I55" s="12">
        <v>0</v>
      </c>
    </row>
    <row r="56" spans="2:9" ht="15" customHeight="1" x14ac:dyDescent="0.2">
      <c r="B56" t="s">
        <v>192</v>
      </c>
      <c r="C56" s="12">
        <v>6</v>
      </c>
      <c r="D56" s="8">
        <v>1.75</v>
      </c>
      <c r="E56" s="12">
        <v>1</v>
      </c>
      <c r="F56" s="8">
        <v>0.69</v>
      </c>
      <c r="G56" s="12">
        <v>5</v>
      </c>
      <c r="H56" s="8">
        <v>2.58</v>
      </c>
      <c r="I56" s="12">
        <v>0</v>
      </c>
    </row>
    <row r="57" spans="2:9" ht="15" customHeight="1" x14ac:dyDescent="0.2">
      <c r="B57" t="s">
        <v>221</v>
      </c>
      <c r="C57" s="12">
        <v>6</v>
      </c>
      <c r="D57" s="8">
        <v>1.75</v>
      </c>
      <c r="E57" s="12">
        <v>2</v>
      </c>
      <c r="F57" s="8">
        <v>1.39</v>
      </c>
      <c r="G57" s="12">
        <v>4</v>
      </c>
      <c r="H57" s="8">
        <v>2.06</v>
      </c>
      <c r="I57" s="12">
        <v>0</v>
      </c>
    </row>
    <row r="58" spans="2:9" ht="15" customHeight="1" x14ac:dyDescent="0.2">
      <c r="B58" t="s">
        <v>162</v>
      </c>
      <c r="C58" s="12">
        <v>6</v>
      </c>
      <c r="D58" s="8">
        <v>1.75</v>
      </c>
      <c r="E58" s="12">
        <v>2</v>
      </c>
      <c r="F58" s="8">
        <v>1.39</v>
      </c>
      <c r="G58" s="12">
        <v>4</v>
      </c>
      <c r="H58" s="8">
        <v>2.06</v>
      </c>
      <c r="I58" s="12">
        <v>0</v>
      </c>
    </row>
    <row r="59" spans="2:9" ht="15" customHeight="1" x14ac:dyDescent="0.2">
      <c r="B59" t="s">
        <v>208</v>
      </c>
      <c r="C59" s="12">
        <v>5</v>
      </c>
      <c r="D59" s="8">
        <v>1.46</v>
      </c>
      <c r="E59" s="12">
        <v>2</v>
      </c>
      <c r="F59" s="8">
        <v>1.39</v>
      </c>
      <c r="G59" s="12">
        <v>3</v>
      </c>
      <c r="H59" s="8">
        <v>1.55</v>
      </c>
      <c r="I59" s="12">
        <v>0</v>
      </c>
    </row>
    <row r="60" spans="2:9" ht="15" customHeight="1" x14ac:dyDescent="0.2">
      <c r="B60" t="s">
        <v>201</v>
      </c>
      <c r="C60" s="12">
        <v>5</v>
      </c>
      <c r="D60" s="8">
        <v>1.46</v>
      </c>
      <c r="E60" s="12">
        <v>0</v>
      </c>
      <c r="F60" s="8">
        <v>0</v>
      </c>
      <c r="G60" s="12">
        <v>5</v>
      </c>
      <c r="H60" s="8">
        <v>2.58</v>
      </c>
      <c r="I60" s="12">
        <v>0</v>
      </c>
    </row>
    <row r="61" spans="2:9" ht="15" customHeight="1" x14ac:dyDescent="0.2">
      <c r="B61" t="s">
        <v>233</v>
      </c>
      <c r="C61" s="12">
        <v>5</v>
      </c>
      <c r="D61" s="8">
        <v>1.46</v>
      </c>
      <c r="E61" s="12">
        <v>0</v>
      </c>
      <c r="F61" s="8">
        <v>0</v>
      </c>
      <c r="G61" s="12">
        <v>5</v>
      </c>
      <c r="H61" s="8">
        <v>2.58</v>
      </c>
      <c r="I61" s="12">
        <v>0</v>
      </c>
    </row>
    <row r="62" spans="2:9" ht="15" customHeight="1" x14ac:dyDescent="0.2">
      <c r="B62" t="s">
        <v>190</v>
      </c>
      <c r="C62" s="12">
        <v>5</v>
      </c>
      <c r="D62" s="8">
        <v>1.46</v>
      </c>
      <c r="E62" s="12">
        <v>2</v>
      </c>
      <c r="F62" s="8">
        <v>1.39</v>
      </c>
      <c r="G62" s="12">
        <v>3</v>
      </c>
      <c r="H62" s="8">
        <v>1.55</v>
      </c>
      <c r="I62" s="12">
        <v>0</v>
      </c>
    </row>
    <row r="63" spans="2:9" ht="15" customHeight="1" x14ac:dyDescent="0.2">
      <c r="B63" t="s">
        <v>205</v>
      </c>
      <c r="C63" s="12">
        <v>5</v>
      </c>
      <c r="D63" s="8">
        <v>1.46</v>
      </c>
      <c r="E63" s="12">
        <v>4</v>
      </c>
      <c r="F63" s="8">
        <v>2.78</v>
      </c>
      <c r="G63" s="12">
        <v>1</v>
      </c>
      <c r="H63" s="8">
        <v>0.52</v>
      </c>
      <c r="I63" s="12">
        <v>0</v>
      </c>
    </row>
    <row r="64" spans="2:9" ht="15" customHeight="1" x14ac:dyDescent="0.2">
      <c r="B64" t="s">
        <v>219</v>
      </c>
      <c r="C64" s="12">
        <v>5</v>
      </c>
      <c r="D64" s="8">
        <v>1.46</v>
      </c>
      <c r="E64" s="12">
        <v>3</v>
      </c>
      <c r="F64" s="8">
        <v>2.08</v>
      </c>
      <c r="G64" s="12">
        <v>2</v>
      </c>
      <c r="H64" s="8">
        <v>1.03</v>
      </c>
      <c r="I64" s="12">
        <v>0</v>
      </c>
    </row>
    <row r="65" spans="2:9" ht="15" customHeight="1" x14ac:dyDescent="0.2">
      <c r="B65" t="s">
        <v>206</v>
      </c>
      <c r="C65" s="12">
        <v>4</v>
      </c>
      <c r="D65" s="8">
        <v>1.17</v>
      </c>
      <c r="E65" s="12">
        <v>2</v>
      </c>
      <c r="F65" s="8">
        <v>1.39</v>
      </c>
      <c r="G65" s="12">
        <v>2</v>
      </c>
      <c r="H65" s="8">
        <v>1.03</v>
      </c>
      <c r="I65" s="12">
        <v>0</v>
      </c>
    </row>
    <row r="66" spans="2:9" ht="15" customHeight="1" x14ac:dyDescent="0.2">
      <c r="B66" t="s">
        <v>200</v>
      </c>
      <c r="C66" s="12">
        <v>4</v>
      </c>
      <c r="D66" s="8">
        <v>1.17</v>
      </c>
      <c r="E66" s="12">
        <v>3</v>
      </c>
      <c r="F66" s="8">
        <v>2.08</v>
      </c>
      <c r="G66" s="12">
        <v>1</v>
      </c>
      <c r="H66" s="8">
        <v>0.52</v>
      </c>
      <c r="I66" s="12">
        <v>0</v>
      </c>
    </row>
    <row r="67" spans="2:9" ht="15" customHeight="1" x14ac:dyDescent="0.2">
      <c r="B67" t="s">
        <v>199</v>
      </c>
      <c r="C67" s="12">
        <v>4</v>
      </c>
      <c r="D67" s="8">
        <v>1.17</v>
      </c>
      <c r="E67" s="12">
        <v>1</v>
      </c>
      <c r="F67" s="8">
        <v>0.69</v>
      </c>
      <c r="G67" s="12">
        <v>3</v>
      </c>
      <c r="H67" s="8">
        <v>1.55</v>
      </c>
      <c r="I67" s="12">
        <v>0</v>
      </c>
    </row>
    <row r="68" spans="2:9" ht="15" customHeight="1" x14ac:dyDescent="0.2">
      <c r="B68" t="s">
        <v>234</v>
      </c>
      <c r="C68" s="12">
        <v>4</v>
      </c>
      <c r="D68" s="8">
        <v>1.17</v>
      </c>
      <c r="E68" s="12">
        <v>1</v>
      </c>
      <c r="F68" s="8">
        <v>0.69</v>
      </c>
      <c r="G68" s="12">
        <v>3</v>
      </c>
      <c r="H68" s="8">
        <v>1.55</v>
      </c>
      <c r="I68" s="12">
        <v>0</v>
      </c>
    </row>
    <row r="69" spans="2:9" ht="15" customHeight="1" x14ac:dyDescent="0.2">
      <c r="B69" t="s">
        <v>163</v>
      </c>
      <c r="C69" s="12">
        <v>4</v>
      </c>
      <c r="D69" s="8">
        <v>1.17</v>
      </c>
      <c r="E69" s="12">
        <v>0</v>
      </c>
      <c r="F69" s="8">
        <v>0</v>
      </c>
      <c r="G69" s="12">
        <v>4</v>
      </c>
      <c r="H69" s="8">
        <v>2.06</v>
      </c>
      <c r="I69" s="12">
        <v>0</v>
      </c>
    </row>
    <row r="70" spans="2:9" ht="15" customHeight="1" x14ac:dyDescent="0.2">
      <c r="B70" t="s">
        <v>168</v>
      </c>
      <c r="C70" s="12">
        <v>4</v>
      </c>
      <c r="D70" s="8">
        <v>1.17</v>
      </c>
      <c r="E70" s="12">
        <v>3</v>
      </c>
      <c r="F70" s="8">
        <v>2.08</v>
      </c>
      <c r="G70" s="12">
        <v>1</v>
      </c>
      <c r="H70" s="8">
        <v>0.52</v>
      </c>
      <c r="I70" s="12">
        <v>0</v>
      </c>
    </row>
    <row r="71" spans="2:9" ht="15" customHeight="1" x14ac:dyDescent="0.2">
      <c r="B71" t="s">
        <v>235</v>
      </c>
      <c r="C71" s="12">
        <v>4</v>
      </c>
      <c r="D71" s="8">
        <v>1.17</v>
      </c>
      <c r="E71" s="12">
        <v>0</v>
      </c>
      <c r="F71" s="8">
        <v>0</v>
      </c>
      <c r="G71" s="12">
        <v>4</v>
      </c>
      <c r="H71" s="8">
        <v>2.06</v>
      </c>
      <c r="I71" s="12">
        <v>0</v>
      </c>
    </row>
    <row r="72" spans="2:9" ht="15" customHeight="1" x14ac:dyDescent="0.2">
      <c r="B72" t="s">
        <v>236</v>
      </c>
      <c r="C72" s="12">
        <v>4</v>
      </c>
      <c r="D72" s="8">
        <v>1.17</v>
      </c>
      <c r="E72" s="12">
        <v>0</v>
      </c>
      <c r="F72" s="8">
        <v>0</v>
      </c>
      <c r="G72" s="12">
        <v>4</v>
      </c>
      <c r="H72" s="8">
        <v>2.06</v>
      </c>
      <c r="I72" s="12">
        <v>0</v>
      </c>
    </row>
    <row r="74" spans="2:9" ht="15" customHeight="1" x14ac:dyDescent="0.2">
      <c r="B74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7157-F4A7-4B38-9BCF-3E3F201814F5}">
  <sheetPr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25</v>
      </c>
      <c r="D6" s="8">
        <v>22.52</v>
      </c>
      <c r="E6" s="12">
        <v>16</v>
      </c>
      <c r="F6" s="8">
        <v>21.92</v>
      </c>
      <c r="G6" s="12">
        <v>9</v>
      </c>
      <c r="H6" s="8">
        <v>25.71</v>
      </c>
      <c r="I6" s="12">
        <v>0</v>
      </c>
    </row>
    <row r="7" spans="2:9" ht="15" customHeight="1" x14ac:dyDescent="0.2">
      <c r="B7" t="s">
        <v>67</v>
      </c>
      <c r="C7" s="12">
        <v>11</v>
      </c>
      <c r="D7" s="8">
        <v>9.91</v>
      </c>
      <c r="E7" s="12">
        <v>6</v>
      </c>
      <c r="F7" s="8">
        <v>8.2200000000000006</v>
      </c>
      <c r="G7" s="12">
        <v>5</v>
      </c>
      <c r="H7" s="8">
        <v>14.29</v>
      </c>
      <c r="I7" s="12">
        <v>0</v>
      </c>
    </row>
    <row r="8" spans="2:9" ht="15" customHeight="1" x14ac:dyDescent="0.2">
      <c r="B8" t="s">
        <v>68</v>
      </c>
      <c r="C8" s="12">
        <v>3</v>
      </c>
      <c r="D8" s="8">
        <v>2.7</v>
      </c>
      <c r="E8" s="12">
        <v>0</v>
      </c>
      <c r="F8" s="8">
        <v>0</v>
      </c>
      <c r="G8" s="12">
        <v>2</v>
      </c>
      <c r="H8" s="8">
        <v>5.71</v>
      </c>
      <c r="I8" s="12">
        <v>0</v>
      </c>
    </row>
    <row r="9" spans="2:9" ht="15" customHeight="1" x14ac:dyDescent="0.2">
      <c r="B9" t="s">
        <v>69</v>
      </c>
      <c r="C9" s="12">
        <v>1</v>
      </c>
      <c r="D9" s="8">
        <v>0.9</v>
      </c>
      <c r="E9" s="12">
        <v>0</v>
      </c>
      <c r="F9" s="8">
        <v>0</v>
      </c>
      <c r="G9" s="12">
        <v>1</v>
      </c>
      <c r="H9" s="8">
        <v>2.86</v>
      </c>
      <c r="I9" s="12">
        <v>0</v>
      </c>
    </row>
    <row r="10" spans="2:9" ht="15" customHeight="1" x14ac:dyDescent="0.2">
      <c r="B10" t="s">
        <v>70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71</v>
      </c>
      <c r="C11" s="12">
        <v>24</v>
      </c>
      <c r="D11" s="8">
        <v>21.62</v>
      </c>
      <c r="E11" s="12">
        <v>19</v>
      </c>
      <c r="F11" s="8">
        <v>26.03</v>
      </c>
      <c r="G11" s="12">
        <v>5</v>
      </c>
      <c r="H11" s="8">
        <v>14.29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4</v>
      </c>
      <c r="D13" s="8">
        <v>3.6</v>
      </c>
      <c r="E13" s="12">
        <v>2</v>
      </c>
      <c r="F13" s="8">
        <v>2.74</v>
      </c>
      <c r="G13" s="12">
        <v>2</v>
      </c>
      <c r="H13" s="8">
        <v>5.71</v>
      </c>
      <c r="I13" s="12">
        <v>0</v>
      </c>
    </row>
    <row r="14" spans="2:9" ht="15" customHeight="1" x14ac:dyDescent="0.2">
      <c r="B14" t="s">
        <v>74</v>
      </c>
      <c r="C14" s="12">
        <v>3</v>
      </c>
      <c r="D14" s="8">
        <v>2.7</v>
      </c>
      <c r="E14" s="12">
        <v>1</v>
      </c>
      <c r="F14" s="8">
        <v>1.37</v>
      </c>
      <c r="G14" s="12">
        <v>1</v>
      </c>
      <c r="H14" s="8">
        <v>2.86</v>
      </c>
      <c r="I14" s="12">
        <v>0</v>
      </c>
    </row>
    <row r="15" spans="2:9" ht="15" customHeight="1" x14ac:dyDescent="0.2">
      <c r="B15" t="s">
        <v>75</v>
      </c>
      <c r="C15" s="12">
        <v>24</v>
      </c>
      <c r="D15" s="8">
        <v>21.62</v>
      </c>
      <c r="E15" s="12">
        <v>19</v>
      </c>
      <c r="F15" s="8">
        <v>26.03</v>
      </c>
      <c r="G15" s="12">
        <v>5</v>
      </c>
      <c r="H15" s="8">
        <v>14.29</v>
      </c>
      <c r="I15" s="12">
        <v>0</v>
      </c>
    </row>
    <row r="16" spans="2:9" ht="15" customHeight="1" x14ac:dyDescent="0.2">
      <c r="B16" t="s">
        <v>76</v>
      </c>
      <c r="C16" s="12">
        <v>8</v>
      </c>
      <c r="D16" s="8">
        <v>7.21</v>
      </c>
      <c r="E16" s="12">
        <v>7</v>
      </c>
      <c r="F16" s="8">
        <v>9.59</v>
      </c>
      <c r="G16" s="12">
        <v>1</v>
      </c>
      <c r="H16" s="8">
        <v>2.86</v>
      </c>
      <c r="I16" s="12">
        <v>0</v>
      </c>
    </row>
    <row r="17" spans="2:9" ht="15" customHeight="1" x14ac:dyDescent="0.2">
      <c r="B17" t="s">
        <v>77</v>
      </c>
      <c r="C17" s="12">
        <v>3</v>
      </c>
      <c r="D17" s="8">
        <v>2.7</v>
      </c>
      <c r="E17" s="12">
        <v>2</v>
      </c>
      <c r="F17" s="8">
        <v>2.74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1</v>
      </c>
      <c r="D18" s="8">
        <v>0.9</v>
      </c>
      <c r="E18" s="12">
        <v>0</v>
      </c>
      <c r="F18" s="8">
        <v>0</v>
      </c>
      <c r="G18" s="12">
        <v>1</v>
      </c>
      <c r="H18" s="8">
        <v>2.86</v>
      </c>
      <c r="I18" s="12">
        <v>0</v>
      </c>
    </row>
    <row r="19" spans="2:9" ht="15" customHeight="1" x14ac:dyDescent="0.2">
      <c r="B19" t="s">
        <v>79</v>
      </c>
      <c r="C19" s="12">
        <v>4</v>
      </c>
      <c r="D19" s="8">
        <v>3.6</v>
      </c>
      <c r="E19" s="12">
        <v>1</v>
      </c>
      <c r="F19" s="8">
        <v>1.37</v>
      </c>
      <c r="G19" s="12">
        <v>3</v>
      </c>
      <c r="H19" s="8">
        <v>8.57</v>
      </c>
      <c r="I19" s="12">
        <v>0</v>
      </c>
    </row>
    <row r="20" spans="2:9" ht="15" customHeight="1" x14ac:dyDescent="0.2">
      <c r="B20" s="9" t="s">
        <v>280</v>
      </c>
      <c r="C20" s="12">
        <f>SUM(LTBL_13307[総数／事業所数])</f>
        <v>111</v>
      </c>
      <c r="E20" s="12">
        <f>SUBTOTAL(109,LTBL_13307[個人／事業所数])</f>
        <v>73</v>
      </c>
      <c r="G20" s="12">
        <f>SUBTOTAL(109,LTBL_13307[法人／事業所数])</f>
        <v>35</v>
      </c>
      <c r="I20" s="12">
        <f>SUBTOTAL(109,LTBL_13307[法人以外の団体／事業所数])</f>
        <v>0</v>
      </c>
    </row>
    <row r="21" spans="2:9" ht="15" customHeight="1" x14ac:dyDescent="0.2">
      <c r="E21" s="11">
        <f>LTBL_13307[[#Totals],[個人／事業所数]]/LTBL_13307[[#Totals],[総数／事業所数]]</f>
        <v>0.65765765765765771</v>
      </c>
      <c r="G21" s="11">
        <f>LTBL_13307[[#Totals],[法人／事業所数]]/LTBL_13307[[#Totals],[総数／事業所数]]</f>
        <v>0.31531531531531531</v>
      </c>
      <c r="I21" s="11">
        <f>LTBL_13307[[#Totals],[法人以外の団体／事業所数]]/LTBL_13307[[#Totals],[総数／事業所数]]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88</v>
      </c>
      <c r="C24" s="12">
        <v>15</v>
      </c>
      <c r="D24" s="8">
        <v>13.51</v>
      </c>
      <c r="E24" s="12">
        <v>7</v>
      </c>
      <c r="F24" s="8">
        <v>9.59</v>
      </c>
      <c r="G24" s="12">
        <v>8</v>
      </c>
      <c r="H24" s="8">
        <v>22.86</v>
      </c>
      <c r="I24" s="12">
        <v>0</v>
      </c>
    </row>
    <row r="25" spans="2:9" ht="15" customHeight="1" x14ac:dyDescent="0.2">
      <c r="B25" t="s">
        <v>144</v>
      </c>
      <c r="C25" s="12">
        <v>14</v>
      </c>
      <c r="D25" s="8">
        <v>12.61</v>
      </c>
      <c r="E25" s="12">
        <v>10</v>
      </c>
      <c r="F25" s="8">
        <v>13.7</v>
      </c>
      <c r="G25" s="12">
        <v>4</v>
      </c>
      <c r="H25" s="8">
        <v>11.43</v>
      </c>
      <c r="I25" s="12">
        <v>0</v>
      </c>
    </row>
    <row r="26" spans="2:9" ht="15" customHeight="1" x14ac:dyDescent="0.2">
      <c r="B26" t="s">
        <v>96</v>
      </c>
      <c r="C26" s="12">
        <v>10</v>
      </c>
      <c r="D26" s="8">
        <v>9.01</v>
      </c>
      <c r="E26" s="12">
        <v>8</v>
      </c>
      <c r="F26" s="8">
        <v>10.96</v>
      </c>
      <c r="G26" s="12">
        <v>2</v>
      </c>
      <c r="H26" s="8">
        <v>5.71</v>
      </c>
      <c r="I26" s="12">
        <v>0</v>
      </c>
    </row>
    <row r="27" spans="2:9" ht="15" customHeight="1" x14ac:dyDescent="0.2">
      <c r="B27" t="s">
        <v>103</v>
      </c>
      <c r="C27" s="12">
        <v>10</v>
      </c>
      <c r="D27" s="8">
        <v>9.01</v>
      </c>
      <c r="E27" s="12">
        <v>9</v>
      </c>
      <c r="F27" s="8">
        <v>12.33</v>
      </c>
      <c r="G27" s="12">
        <v>1</v>
      </c>
      <c r="H27" s="8">
        <v>2.86</v>
      </c>
      <c r="I27" s="12">
        <v>0</v>
      </c>
    </row>
    <row r="28" spans="2:9" ht="15" customHeight="1" x14ac:dyDescent="0.2">
      <c r="B28" t="s">
        <v>98</v>
      </c>
      <c r="C28" s="12">
        <v>9</v>
      </c>
      <c r="D28" s="8">
        <v>8.11</v>
      </c>
      <c r="E28" s="12">
        <v>7</v>
      </c>
      <c r="F28" s="8">
        <v>9.59</v>
      </c>
      <c r="G28" s="12">
        <v>2</v>
      </c>
      <c r="H28" s="8">
        <v>5.71</v>
      </c>
      <c r="I28" s="12">
        <v>0</v>
      </c>
    </row>
    <row r="29" spans="2:9" ht="15" customHeight="1" x14ac:dyDescent="0.2">
      <c r="B29" t="s">
        <v>89</v>
      </c>
      <c r="C29" s="12">
        <v>7</v>
      </c>
      <c r="D29" s="8">
        <v>6.31</v>
      </c>
      <c r="E29" s="12">
        <v>6</v>
      </c>
      <c r="F29" s="8">
        <v>8.2200000000000006</v>
      </c>
      <c r="G29" s="12">
        <v>1</v>
      </c>
      <c r="H29" s="8">
        <v>2.86</v>
      </c>
      <c r="I29" s="12">
        <v>0</v>
      </c>
    </row>
    <row r="30" spans="2:9" ht="15" customHeight="1" x14ac:dyDescent="0.2">
      <c r="B30" t="s">
        <v>136</v>
      </c>
      <c r="C30" s="12">
        <v>6</v>
      </c>
      <c r="D30" s="8">
        <v>5.41</v>
      </c>
      <c r="E30" s="12">
        <v>2</v>
      </c>
      <c r="F30" s="8">
        <v>2.74</v>
      </c>
      <c r="G30" s="12">
        <v>4</v>
      </c>
      <c r="H30" s="8">
        <v>11.43</v>
      </c>
      <c r="I30" s="12">
        <v>0</v>
      </c>
    </row>
    <row r="31" spans="2:9" ht="15" customHeight="1" x14ac:dyDescent="0.2">
      <c r="B31" t="s">
        <v>104</v>
      </c>
      <c r="C31" s="12">
        <v>6</v>
      </c>
      <c r="D31" s="8">
        <v>5.41</v>
      </c>
      <c r="E31" s="12">
        <v>6</v>
      </c>
      <c r="F31" s="8">
        <v>8.2200000000000006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90</v>
      </c>
      <c r="C32" s="12">
        <v>3</v>
      </c>
      <c r="D32" s="8">
        <v>2.7</v>
      </c>
      <c r="E32" s="12">
        <v>3</v>
      </c>
      <c r="F32" s="8">
        <v>4.1100000000000003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105</v>
      </c>
      <c r="C33" s="12">
        <v>3</v>
      </c>
      <c r="D33" s="8">
        <v>2.7</v>
      </c>
      <c r="E33" s="12">
        <v>2</v>
      </c>
      <c r="F33" s="8">
        <v>2.74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140</v>
      </c>
      <c r="C34" s="12">
        <v>2</v>
      </c>
      <c r="D34" s="8">
        <v>1.8</v>
      </c>
      <c r="E34" s="12">
        <v>0</v>
      </c>
      <c r="F34" s="8">
        <v>0</v>
      </c>
      <c r="G34" s="12">
        <v>2</v>
      </c>
      <c r="H34" s="8">
        <v>5.71</v>
      </c>
      <c r="I34" s="12">
        <v>0</v>
      </c>
    </row>
    <row r="35" spans="2:9" ht="15" customHeight="1" x14ac:dyDescent="0.2">
      <c r="B35" t="s">
        <v>100</v>
      </c>
      <c r="C35" s="12">
        <v>2</v>
      </c>
      <c r="D35" s="8">
        <v>1.8</v>
      </c>
      <c r="E35" s="12">
        <v>1</v>
      </c>
      <c r="F35" s="8">
        <v>1.37</v>
      </c>
      <c r="G35" s="12">
        <v>1</v>
      </c>
      <c r="H35" s="8">
        <v>2.86</v>
      </c>
      <c r="I35" s="12">
        <v>0</v>
      </c>
    </row>
    <row r="36" spans="2:9" ht="15" customHeight="1" x14ac:dyDescent="0.2">
      <c r="B36" t="s">
        <v>115</v>
      </c>
      <c r="C36" s="12">
        <v>2</v>
      </c>
      <c r="D36" s="8">
        <v>1.8</v>
      </c>
      <c r="E36" s="12">
        <v>1</v>
      </c>
      <c r="F36" s="8">
        <v>1.37</v>
      </c>
      <c r="G36" s="12">
        <v>1</v>
      </c>
      <c r="H36" s="8">
        <v>2.86</v>
      </c>
      <c r="I36" s="12">
        <v>0</v>
      </c>
    </row>
    <row r="37" spans="2:9" ht="15" customHeight="1" x14ac:dyDescent="0.2">
      <c r="B37" t="s">
        <v>107</v>
      </c>
      <c r="C37" s="12">
        <v>2</v>
      </c>
      <c r="D37" s="8">
        <v>1.8</v>
      </c>
      <c r="E37" s="12">
        <v>1</v>
      </c>
      <c r="F37" s="8">
        <v>1.37</v>
      </c>
      <c r="G37" s="12">
        <v>1</v>
      </c>
      <c r="H37" s="8">
        <v>2.86</v>
      </c>
      <c r="I37" s="12">
        <v>0</v>
      </c>
    </row>
    <row r="38" spans="2:9" ht="15" customHeight="1" x14ac:dyDescent="0.2">
      <c r="B38" t="s">
        <v>138</v>
      </c>
      <c r="C38" s="12">
        <v>1</v>
      </c>
      <c r="D38" s="8">
        <v>0.9</v>
      </c>
      <c r="E38" s="12">
        <v>1</v>
      </c>
      <c r="F38" s="8">
        <v>1.37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118</v>
      </c>
      <c r="C39" s="12">
        <v>1</v>
      </c>
      <c r="D39" s="8">
        <v>0.9</v>
      </c>
      <c r="E39" s="12">
        <v>1</v>
      </c>
      <c r="F39" s="8">
        <v>1.37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139</v>
      </c>
      <c r="C40" s="12">
        <v>1</v>
      </c>
      <c r="D40" s="8">
        <v>0.9</v>
      </c>
      <c r="E40" s="12">
        <v>1</v>
      </c>
      <c r="F40" s="8">
        <v>1.37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134</v>
      </c>
      <c r="C41" s="12">
        <v>1</v>
      </c>
      <c r="D41" s="8">
        <v>0.9</v>
      </c>
      <c r="E41" s="12">
        <v>1</v>
      </c>
      <c r="F41" s="8">
        <v>1.37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135</v>
      </c>
      <c r="C42" s="12">
        <v>1</v>
      </c>
      <c r="D42" s="8">
        <v>0.9</v>
      </c>
      <c r="E42" s="12">
        <v>0</v>
      </c>
      <c r="F42" s="8">
        <v>0</v>
      </c>
      <c r="G42" s="12">
        <v>1</v>
      </c>
      <c r="H42" s="8">
        <v>2.86</v>
      </c>
      <c r="I42" s="12">
        <v>0</v>
      </c>
    </row>
    <row r="43" spans="2:9" ht="15" customHeight="1" x14ac:dyDescent="0.2">
      <c r="B43" t="s">
        <v>141</v>
      </c>
      <c r="C43" s="12">
        <v>1</v>
      </c>
      <c r="D43" s="8">
        <v>0.9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91</v>
      </c>
      <c r="C44" s="12">
        <v>1</v>
      </c>
      <c r="D44" s="8">
        <v>0.9</v>
      </c>
      <c r="E44" s="12">
        <v>0</v>
      </c>
      <c r="F44" s="8">
        <v>0</v>
      </c>
      <c r="G44" s="12">
        <v>1</v>
      </c>
      <c r="H44" s="8">
        <v>2.86</v>
      </c>
      <c r="I44" s="12">
        <v>0</v>
      </c>
    </row>
    <row r="45" spans="2:9" ht="15" customHeight="1" x14ac:dyDescent="0.2">
      <c r="B45" t="s">
        <v>112</v>
      </c>
      <c r="C45" s="12">
        <v>1</v>
      </c>
      <c r="D45" s="8">
        <v>0.9</v>
      </c>
      <c r="E45" s="12">
        <v>0</v>
      </c>
      <c r="F45" s="8">
        <v>0</v>
      </c>
      <c r="G45" s="12">
        <v>1</v>
      </c>
      <c r="H45" s="8">
        <v>2.86</v>
      </c>
      <c r="I45" s="12">
        <v>0</v>
      </c>
    </row>
    <row r="46" spans="2:9" ht="15" customHeight="1" x14ac:dyDescent="0.2">
      <c r="B46" t="s">
        <v>109</v>
      </c>
      <c r="C46" s="12">
        <v>1</v>
      </c>
      <c r="D46" s="8">
        <v>0.9</v>
      </c>
      <c r="E46" s="12">
        <v>1</v>
      </c>
      <c r="F46" s="8">
        <v>1.37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110</v>
      </c>
      <c r="C47" s="12">
        <v>1</v>
      </c>
      <c r="D47" s="8">
        <v>0.9</v>
      </c>
      <c r="E47" s="12">
        <v>1</v>
      </c>
      <c r="F47" s="8">
        <v>1.37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94</v>
      </c>
      <c r="C48" s="12">
        <v>1</v>
      </c>
      <c r="D48" s="8">
        <v>0.9</v>
      </c>
      <c r="E48" s="12">
        <v>1</v>
      </c>
      <c r="F48" s="8">
        <v>1.37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97</v>
      </c>
      <c r="C49" s="12">
        <v>1</v>
      </c>
      <c r="D49" s="8">
        <v>0.9</v>
      </c>
      <c r="E49" s="12">
        <v>1</v>
      </c>
      <c r="F49" s="8">
        <v>1.37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99</v>
      </c>
      <c r="C50" s="12">
        <v>1</v>
      </c>
      <c r="D50" s="8">
        <v>0.9</v>
      </c>
      <c r="E50" s="12">
        <v>0</v>
      </c>
      <c r="F50" s="8">
        <v>0</v>
      </c>
      <c r="G50" s="12">
        <v>1</v>
      </c>
      <c r="H50" s="8">
        <v>2.86</v>
      </c>
      <c r="I50" s="12">
        <v>0</v>
      </c>
    </row>
    <row r="51" spans="2:9" ht="15" customHeight="1" x14ac:dyDescent="0.2">
      <c r="B51" t="s">
        <v>142</v>
      </c>
      <c r="C51" s="12">
        <v>1</v>
      </c>
      <c r="D51" s="8">
        <v>0.9</v>
      </c>
      <c r="E51" s="12">
        <v>1</v>
      </c>
      <c r="F51" s="8">
        <v>1.37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143</v>
      </c>
      <c r="C52" s="12">
        <v>1</v>
      </c>
      <c r="D52" s="8">
        <v>0.9</v>
      </c>
      <c r="E52" s="12">
        <v>0</v>
      </c>
      <c r="F52" s="8">
        <v>0</v>
      </c>
      <c r="G52" s="12">
        <v>1</v>
      </c>
      <c r="H52" s="8">
        <v>2.86</v>
      </c>
      <c r="I52" s="12">
        <v>0</v>
      </c>
    </row>
    <row r="53" spans="2:9" ht="15" customHeight="1" x14ac:dyDescent="0.2">
      <c r="B53" t="s">
        <v>101</v>
      </c>
      <c r="C53" s="12">
        <v>1</v>
      </c>
      <c r="D53" s="8">
        <v>0.9</v>
      </c>
      <c r="E53" s="12">
        <v>1</v>
      </c>
      <c r="F53" s="8">
        <v>1.37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102</v>
      </c>
      <c r="C54" s="12">
        <v>1</v>
      </c>
      <c r="D54" s="8">
        <v>0.9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132</v>
      </c>
      <c r="C55" s="12">
        <v>1</v>
      </c>
      <c r="D55" s="8">
        <v>0.9</v>
      </c>
      <c r="E55" s="12">
        <v>0</v>
      </c>
      <c r="F55" s="8">
        <v>0</v>
      </c>
      <c r="G55" s="12">
        <v>1</v>
      </c>
      <c r="H55" s="8">
        <v>2.86</v>
      </c>
      <c r="I55" s="12">
        <v>0</v>
      </c>
    </row>
    <row r="56" spans="2:9" ht="15" customHeight="1" x14ac:dyDescent="0.2">
      <c r="B56" t="s">
        <v>133</v>
      </c>
      <c r="C56" s="12">
        <v>1</v>
      </c>
      <c r="D56" s="8">
        <v>0.9</v>
      </c>
      <c r="E56" s="12">
        <v>0</v>
      </c>
      <c r="F56" s="8">
        <v>0</v>
      </c>
      <c r="G56" s="12">
        <v>1</v>
      </c>
      <c r="H56" s="8">
        <v>2.86</v>
      </c>
      <c r="I56" s="12">
        <v>0</v>
      </c>
    </row>
    <row r="57" spans="2:9" ht="15" customHeight="1" x14ac:dyDescent="0.2">
      <c r="B57" t="s">
        <v>145</v>
      </c>
      <c r="C57" s="12">
        <v>1</v>
      </c>
      <c r="D57" s="8">
        <v>0.9</v>
      </c>
      <c r="E57" s="12">
        <v>0</v>
      </c>
      <c r="F57" s="8">
        <v>0</v>
      </c>
      <c r="G57" s="12">
        <v>1</v>
      </c>
      <c r="H57" s="8">
        <v>2.86</v>
      </c>
      <c r="I57" s="12">
        <v>0</v>
      </c>
    </row>
    <row r="60" spans="2:9" ht="33" customHeight="1" x14ac:dyDescent="0.2">
      <c r="B60" t="s">
        <v>282</v>
      </c>
      <c r="C60" s="10" t="s">
        <v>81</v>
      </c>
      <c r="D60" s="10" t="s">
        <v>82</v>
      </c>
      <c r="E60" s="10" t="s">
        <v>83</v>
      </c>
      <c r="F60" s="10" t="s">
        <v>84</v>
      </c>
      <c r="G60" s="10" t="s">
        <v>85</v>
      </c>
      <c r="H60" s="10" t="s">
        <v>86</v>
      </c>
      <c r="I60" s="10" t="s">
        <v>87</v>
      </c>
    </row>
    <row r="61" spans="2:9" ht="15" customHeight="1" x14ac:dyDescent="0.2">
      <c r="B61" t="s">
        <v>223</v>
      </c>
      <c r="C61" s="12">
        <v>9</v>
      </c>
      <c r="D61" s="8">
        <v>8.11</v>
      </c>
      <c r="E61" s="12">
        <v>6</v>
      </c>
      <c r="F61" s="8">
        <v>8.2200000000000006</v>
      </c>
      <c r="G61" s="12">
        <v>3</v>
      </c>
      <c r="H61" s="8">
        <v>8.57</v>
      </c>
      <c r="I61" s="12">
        <v>0</v>
      </c>
    </row>
    <row r="62" spans="2:9" ht="15" customHeight="1" x14ac:dyDescent="0.2">
      <c r="B62" t="s">
        <v>242</v>
      </c>
      <c r="C62" s="12">
        <v>7</v>
      </c>
      <c r="D62" s="8">
        <v>6.31</v>
      </c>
      <c r="E62" s="12">
        <v>4</v>
      </c>
      <c r="F62" s="8">
        <v>5.48</v>
      </c>
      <c r="G62" s="12">
        <v>3</v>
      </c>
      <c r="H62" s="8">
        <v>8.57</v>
      </c>
      <c r="I62" s="12">
        <v>0</v>
      </c>
    </row>
    <row r="63" spans="2:9" ht="15" customHeight="1" x14ac:dyDescent="0.2">
      <c r="B63" t="s">
        <v>220</v>
      </c>
      <c r="C63" s="12">
        <v>5</v>
      </c>
      <c r="D63" s="8">
        <v>4.5</v>
      </c>
      <c r="E63" s="12">
        <v>0</v>
      </c>
      <c r="F63" s="8">
        <v>0</v>
      </c>
      <c r="G63" s="12">
        <v>5</v>
      </c>
      <c r="H63" s="8">
        <v>14.29</v>
      </c>
      <c r="I63" s="12">
        <v>0</v>
      </c>
    </row>
    <row r="64" spans="2:9" ht="15" customHeight="1" x14ac:dyDescent="0.2">
      <c r="B64" t="s">
        <v>241</v>
      </c>
      <c r="C64" s="12">
        <v>5</v>
      </c>
      <c r="D64" s="8">
        <v>4.5</v>
      </c>
      <c r="E64" s="12">
        <v>3</v>
      </c>
      <c r="F64" s="8">
        <v>4.1100000000000003</v>
      </c>
      <c r="G64" s="12">
        <v>2</v>
      </c>
      <c r="H64" s="8">
        <v>5.71</v>
      </c>
      <c r="I64" s="12">
        <v>0</v>
      </c>
    </row>
    <row r="65" spans="2:9" ht="15" customHeight="1" x14ac:dyDescent="0.2">
      <c r="B65" t="s">
        <v>243</v>
      </c>
      <c r="C65" s="12">
        <v>5</v>
      </c>
      <c r="D65" s="8">
        <v>4.5</v>
      </c>
      <c r="E65" s="12">
        <v>4</v>
      </c>
      <c r="F65" s="8">
        <v>5.48</v>
      </c>
      <c r="G65" s="12">
        <v>1</v>
      </c>
      <c r="H65" s="8">
        <v>2.86</v>
      </c>
      <c r="I65" s="12">
        <v>0</v>
      </c>
    </row>
    <row r="66" spans="2:9" ht="15" customHeight="1" x14ac:dyDescent="0.2">
      <c r="B66" t="s">
        <v>227</v>
      </c>
      <c r="C66" s="12">
        <v>4</v>
      </c>
      <c r="D66" s="8">
        <v>3.6</v>
      </c>
      <c r="E66" s="12">
        <v>4</v>
      </c>
      <c r="F66" s="8">
        <v>5.48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240</v>
      </c>
      <c r="C67" s="12">
        <v>4</v>
      </c>
      <c r="D67" s="8">
        <v>3.6</v>
      </c>
      <c r="E67" s="12">
        <v>4</v>
      </c>
      <c r="F67" s="8">
        <v>5.48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158</v>
      </c>
      <c r="C68" s="12">
        <v>4</v>
      </c>
      <c r="D68" s="8">
        <v>3.6</v>
      </c>
      <c r="E68" s="12">
        <v>2</v>
      </c>
      <c r="F68" s="8">
        <v>2.74</v>
      </c>
      <c r="G68" s="12">
        <v>2</v>
      </c>
      <c r="H68" s="8">
        <v>5.71</v>
      </c>
      <c r="I68" s="12">
        <v>0</v>
      </c>
    </row>
    <row r="69" spans="2:9" ht="15" customHeight="1" x14ac:dyDescent="0.2">
      <c r="B69" t="s">
        <v>237</v>
      </c>
      <c r="C69" s="12">
        <v>3</v>
      </c>
      <c r="D69" s="8">
        <v>2.7</v>
      </c>
      <c r="E69" s="12">
        <v>2</v>
      </c>
      <c r="F69" s="8">
        <v>2.74</v>
      </c>
      <c r="G69" s="12">
        <v>1</v>
      </c>
      <c r="H69" s="8">
        <v>2.86</v>
      </c>
      <c r="I69" s="12">
        <v>0</v>
      </c>
    </row>
    <row r="70" spans="2:9" ht="15" customHeight="1" x14ac:dyDescent="0.2">
      <c r="B70" t="s">
        <v>238</v>
      </c>
      <c r="C70" s="12">
        <v>3</v>
      </c>
      <c r="D70" s="8">
        <v>2.7</v>
      </c>
      <c r="E70" s="12">
        <v>0</v>
      </c>
      <c r="F70" s="8">
        <v>0</v>
      </c>
      <c r="G70" s="12">
        <v>3</v>
      </c>
      <c r="H70" s="8">
        <v>8.57</v>
      </c>
      <c r="I70" s="12">
        <v>0</v>
      </c>
    </row>
    <row r="71" spans="2:9" ht="15" customHeight="1" x14ac:dyDescent="0.2">
      <c r="B71" t="s">
        <v>171</v>
      </c>
      <c r="C71" s="12">
        <v>3</v>
      </c>
      <c r="D71" s="8">
        <v>2.7</v>
      </c>
      <c r="E71" s="12">
        <v>3</v>
      </c>
      <c r="F71" s="8">
        <v>4.1100000000000003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201</v>
      </c>
      <c r="C72" s="12">
        <v>2</v>
      </c>
      <c r="D72" s="8">
        <v>1.8</v>
      </c>
      <c r="E72" s="12">
        <v>2</v>
      </c>
      <c r="F72" s="8">
        <v>2.74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239</v>
      </c>
      <c r="C73" s="12">
        <v>2</v>
      </c>
      <c r="D73" s="8">
        <v>1.8</v>
      </c>
      <c r="E73" s="12">
        <v>0</v>
      </c>
      <c r="F73" s="8">
        <v>0</v>
      </c>
      <c r="G73" s="12">
        <v>2</v>
      </c>
      <c r="H73" s="8">
        <v>5.71</v>
      </c>
      <c r="I73" s="12">
        <v>0</v>
      </c>
    </row>
    <row r="74" spans="2:9" ht="15" customHeight="1" x14ac:dyDescent="0.2">
      <c r="B74" t="s">
        <v>159</v>
      </c>
      <c r="C74" s="12">
        <v>2</v>
      </c>
      <c r="D74" s="8">
        <v>1.8</v>
      </c>
      <c r="E74" s="12">
        <v>2</v>
      </c>
      <c r="F74" s="8">
        <v>2.74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162</v>
      </c>
      <c r="C75" s="12">
        <v>2</v>
      </c>
      <c r="D75" s="8">
        <v>1.8</v>
      </c>
      <c r="E75" s="12">
        <v>1</v>
      </c>
      <c r="F75" s="8">
        <v>1.37</v>
      </c>
      <c r="G75" s="12">
        <v>1</v>
      </c>
      <c r="H75" s="8">
        <v>2.86</v>
      </c>
      <c r="I75" s="12">
        <v>0</v>
      </c>
    </row>
    <row r="76" spans="2:9" ht="15" customHeight="1" x14ac:dyDescent="0.2">
      <c r="B76" t="s">
        <v>244</v>
      </c>
      <c r="C76" s="12">
        <v>2</v>
      </c>
      <c r="D76" s="8">
        <v>1.8</v>
      </c>
      <c r="E76" s="12">
        <v>2</v>
      </c>
      <c r="F76" s="8">
        <v>2.74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168</v>
      </c>
      <c r="C77" s="12">
        <v>2</v>
      </c>
      <c r="D77" s="8">
        <v>1.8</v>
      </c>
      <c r="E77" s="12">
        <v>2</v>
      </c>
      <c r="F77" s="8">
        <v>2.74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245</v>
      </c>
      <c r="C78" s="12">
        <v>2</v>
      </c>
      <c r="D78" s="8">
        <v>1.8</v>
      </c>
      <c r="E78" s="12">
        <v>1</v>
      </c>
      <c r="F78" s="8">
        <v>1.37</v>
      </c>
      <c r="G78" s="12">
        <v>1</v>
      </c>
      <c r="H78" s="8">
        <v>2.86</v>
      </c>
      <c r="I78" s="12">
        <v>0</v>
      </c>
    </row>
    <row r="79" spans="2:9" ht="15" customHeight="1" x14ac:dyDescent="0.2">
      <c r="B79" t="s">
        <v>169</v>
      </c>
      <c r="C79" s="12">
        <v>2</v>
      </c>
      <c r="D79" s="8">
        <v>1.8</v>
      </c>
      <c r="E79" s="12">
        <v>2</v>
      </c>
      <c r="F79" s="8">
        <v>2.74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191</v>
      </c>
      <c r="C80" s="12">
        <v>2</v>
      </c>
      <c r="D80" s="8">
        <v>1.8</v>
      </c>
      <c r="E80" s="12">
        <v>2</v>
      </c>
      <c r="F80" s="8">
        <v>2.74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172</v>
      </c>
      <c r="C81" s="12">
        <v>2</v>
      </c>
      <c r="D81" s="8">
        <v>1.8</v>
      </c>
      <c r="E81" s="12">
        <v>2</v>
      </c>
      <c r="F81" s="8">
        <v>2.74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173</v>
      </c>
      <c r="C82" s="12">
        <v>2</v>
      </c>
      <c r="D82" s="8">
        <v>1.8</v>
      </c>
      <c r="E82" s="12">
        <v>2</v>
      </c>
      <c r="F82" s="8">
        <v>2.74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176</v>
      </c>
      <c r="C83" s="12">
        <v>2</v>
      </c>
      <c r="D83" s="8">
        <v>1.8</v>
      </c>
      <c r="E83" s="12">
        <v>1</v>
      </c>
      <c r="F83" s="8">
        <v>1.37</v>
      </c>
      <c r="G83" s="12">
        <v>1</v>
      </c>
      <c r="H83" s="8">
        <v>2.86</v>
      </c>
      <c r="I83" s="12">
        <v>0</v>
      </c>
    </row>
    <row r="85" spans="2:9" ht="15" customHeight="1" x14ac:dyDescent="0.2">
      <c r="B85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26AF-CFA4-45CB-9A41-1F64F6C85AF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17</v>
      </c>
      <c r="D5" s="8">
        <v>0.01</v>
      </c>
      <c r="E5" s="12">
        <v>0</v>
      </c>
      <c r="F5" s="8">
        <v>0</v>
      </c>
      <c r="G5" s="12">
        <v>17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21855</v>
      </c>
      <c r="D6" s="8">
        <v>8.1199999999999992</v>
      </c>
      <c r="E6" s="12">
        <v>2423</v>
      </c>
      <c r="F6" s="8">
        <v>2.78</v>
      </c>
      <c r="G6" s="12">
        <v>19429</v>
      </c>
      <c r="H6" s="8">
        <v>10.7</v>
      </c>
      <c r="I6" s="12">
        <v>3</v>
      </c>
    </row>
    <row r="7" spans="2:9" ht="15" customHeight="1" x14ac:dyDescent="0.2">
      <c r="B7" t="s">
        <v>67</v>
      </c>
      <c r="C7" s="12">
        <v>25098</v>
      </c>
      <c r="D7" s="8">
        <v>9.33</v>
      </c>
      <c r="E7" s="12">
        <v>5380</v>
      </c>
      <c r="F7" s="8">
        <v>6.18</v>
      </c>
      <c r="G7" s="12">
        <v>19714</v>
      </c>
      <c r="H7" s="8">
        <v>10.86</v>
      </c>
      <c r="I7" s="12">
        <v>4</v>
      </c>
    </row>
    <row r="8" spans="2:9" ht="15" customHeight="1" x14ac:dyDescent="0.2">
      <c r="B8" t="s">
        <v>68</v>
      </c>
      <c r="C8" s="12">
        <v>330</v>
      </c>
      <c r="D8" s="8">
        <v>0.12</v>
      </c>
      <c r="E8" s="12">
        <v>1</v>
      </c>
      <c r="F8" s="8">
        <v>0</v>
      </c>
      <c r="G8" s="12">
        <v>325</v>
      </c>
      <c r="H8" s="8">
        <v>0.18</v>
      </c>
      <c r="I8" s="12">
        <v>2</v>
      </c>
    </row>
    <row r="9" spans="2:9" ht="15" customHeight="1" x14ac:dyDescent="0.2">
      <c r="B9" t="s">
        <v>69</v>
      </c>
      <c r="C9" s="12">
        <v>10568</v>
      </c>
      <c r="D9" s="8">
        <v>3.93</v>
      </c>
      <c r="E9" s="12">
        <v>242</v>
      </c>
      <c r="F9" s="8">
        <v>0.28000000000000003</v>
      </c>
      <c r="G9" s="12">
        <v>10308</v>
      </c>
      <c r="H9" s="8">
        <v>5.68</v>
      </c>
      <c r="I9" s="12">
        <v>18</v>
      </c>
    </row>
    <row r="10" spans="2:9" ht="15" customHeight="1" x14ac:dyDescent="0.2">
      <c r="B10" t="s">
        <v>70</v>
      </c>
      <c r="C10" s="12">
        <v>3974</v>
      </c>
      <c r="D10" s="8">
        <v>1.48</v>
      </c>
      <c r="E10" s="12">
        <v>1567</v>
      </c>
      <c r="F10" s="8">
        <v>1.8</v>
      </c>
      <c r="G10" s="12">
        <v>2401</v>
      </c>
      <c r="H10" s="8">
        <v>1.32</v>
      </c>
      <c r="I10" s="12">
        <v>3</v>
      </c>
    </row>
    <row r="11" spans="2:9" ht="15" customHeight="1" x14ac:dyDescent="0.2">
      <c r="B11" t="s">
        <v>71</v>
      </c>
      <c r="C11" s="12">
        <v>55370</v>
      </c>
      <c r="D11" s="8">
        <v>20.57</v>
      </c>
      <c r="E11" s="12">
        <v>13807</v>
      </c>
      <c r="F11" s="8">
        <v>15.85</v>
      </c>
      <c r="G11" s="12">
        <v>41543</v>
      </c>
      <c r="H11" s="8">
        <v>22.89</v>
      </c>
      <c r="I11" s="12">
        <v>20</v>
      </c>
    </row>
    <row r="12" spans="2:9" ht="15" customHeight="1" x14ac:dyDescent="0.2">
      <c r="B12" t="s">
        <v>72</v>
      </c>
      <c r="C12" s="12">
        <v>1560</v>
      </c>
      <c r="D12" s="8">
        <v>0.57999999999999996</v>
      </c>
      <c r="E12" s="12">
        <v>62</v>
      </c>
      <c r="F12" s="8">
        <v>7.0000000000000007E-2</v>
      </c>
      <c r="G12" s="12">
        <v>1496</v>
      </c>
      <c r="H12" s="8">
        <v>0.82</v>
      </c>
      <c r="I12" s="12">
        <v>2</v>
      </c>
    </row>
    <row r="13" spans="2:9" ht="15" customHeight="1" x14ac:dyDescent="0.2">
      <c r="B13" t="s">
        <v>73</v>
      </c>
      <c r="C13" s="12">
        <v>40424</v>
      </c>
      <c r="D13" s="8">
        <v>15.02</v>
      </c>
      <c r="E13" s="12">
        <v>9122</v>
      </c>
      <c r="F13" s="8">
        <v>10.47</v>
      </c>
      <c r="G13" s="12">
        <v>31261</v>
      </c>
      <c r="H13" s="8">
        <v>17.22</v>
      </c>
      <c r="I13" s="12">
        <v>36</v>
      </c>
    </row>
    <row r="14" spans="2:9" ht="15" customHeight="1" x14ac:dyDescent="0.2">
      <c r="B14" t="s">
        <v>74</v>
      </c>
      <c r="C14" s="12">
        <v>28550</v>
      </c>
      <c r="D14" s="8">
        <v>10.61</v>
      </c>
      <c r="E14" s="12">
        <v>10440</v>
      </c>
      <c r="F14" s="8">
        <v>11.99</v>
      </c>
      <c r="G14" s="12">
        <v>18030</v>
      </c>
      <c r="H14" s="8">
        <v>9.93</v>
      </c>
      <c r="I14" s="12">
        <v>49</v>
      </c>
    </row>
    <row r="15" spans="2:9" ht="15" customHeight="1" x14ac:dyDescent="0.2">
      <c r="B15" t="s">
        <v>75</v>
      </c>
      <c r="C15" s="12">
        <v>30643</v>
      </c>
      <c r="D15" s="8">
        <v>11.39</v>
      </c>
      <c r="E15" s="12">
        <v>19585</v>
      </c>
      <c r="F15" s="8">
        <v>22.49</v>
      </c>
      <c r="G15" s="12">
        <v>11041</v>
      </c>
      <c r="H15" s="8">
        <v>6.08</v>
      </c>
      <c r="I15" s="12">
        <v>8</v>
      </c>
    </row>
    <row r="16" spans="2:9" ht="15" customHeight="1" x14ac:dyDescent="0.2">
      <c r="B16" t="s">
        <v>76</v>
      </c>
      <c r="C16" s="12">
        <v>22421</v>
      </c>
      <c r="D16" s="8">
        <v>8.33</v>
      </c>
      <c r="E16" s="12">
        <v>12649</v>
      </c>
      <c r="F16" s="8">
        <v>14.52</v>
      </c>
      <c r="G16" s="12">
        <v>9746</v>
      </c>
      <c r="H16" s="8">
        <v>5.37</v>
      </c>
      <c r="I16" s="12">
        <v>17</v>
      </c>
    </row>
    <row r="17" spans="2:9" ht="15" customHeight="1" x14ac:dyDescent="0.2">
      <c r="B17" t="s">
        <v>77</v>
      </c>
      <c r="C17" s="12">
        <v>6832</v>
      </c>
      <c r="D17" s="8">
        <v>2.54</v>
      </c>
      <c r="E17" s="12">
        <v>3313</v>
      </c>
      <c r="F17" s="8">
        <v>3.8</v>
      </c>
      <c r="G17" s="12">
        <v>3442</v>
      </c>
      <c r="H17" s="8">
        <v>1.9</v>
      </c>
      <c r="I17" s="12">
        <v>36</v>
      </c>
    </row>
    <row r="18" spans="2:9" ht="15" customHeight="1" x14ac:dyDescent="0.2">
      <c r="B18" t="s">
        <v>78</v>
      </c>
      <c r="C18" s="12">
        <v>11743</v>
      </c>
      <c r="D18" s="8">
        <v>4.3600000000000003</v>
      </c>
      <c r="E18" s="12">
        <v>7548</v>
      </c>
      <c r="F18" s="8">
        <v>8.67</v>
      </c>
      <c r="G18" s="12">
        <v>4082</v>
      </c>
      <c r="H18" s="8">
        <v>2.25</v>
      </c>
      <c r="I18" s="12">
        <v>13</v>
      </c>
    </row>
    <row r="19" spans="2:9" ht="15" customHeight="1" x14ac:dyDescent="0.2">
      <c r="B19" t="s">
        <v>79</v>
      </c>
      <c r="C19" s="12">
        <v>9755</v>
      </c>
      <c r="D19" s="8">
        <v>3.62</v>
      </c>
      <c r="E19" s="12">
        <v>949</v>
      </c>
      <c r="F19" s="8">
        <v>1.0900000000000001</v>
      </c>
      <c r="G19" s="12">
        <v>8682</v>
      </c>
      <c r="H19" s="8">
        <v>4.78</v>
      </c>
      <c r="I19" s="12">
        <v>78</v>
      </c>
    </row>
    <row r="20" spans="2:9" ht="15" customHeight="1" x14ac:dyDescent="0.2">
      <c r="B20" s="9" t="s">
        <v>280</v>
      </c>
      <c r="C20" s="12">
        <f>SUM(LTBL_13100[総数／事業所数])</f>
        <v>269140</v>
      </c>
      <c r="E20" s="12">
        <f>SUBTOTAL(109,LTBL_13100[個人／事業所数])</f>
        <v>87088</v>
      </c>
      <c r="G20" s="12">
        <f>SUBTOTAL(109,LTBL_13100[法人／事業所数])</f>
        <v>181517</v>
      </c>
      <c r="I20" s="12">
        <f>SUBTOTAL(109,LTBL_13100[法人以外の団体／事業所数])</f>
        <v>289</v>
      </c>
    </row>
    <row r="21" spans="2:9" ht="15" customHeight="1" x14ac:dyDescent="0.2">
      <c r="E21" s="11">
        <f>LTBL_13100[[#Totals],[個人／事業所数]]/LTBL_13100[[#Totals],[総数／事業所数]]</f>
        <v>0.32357880656907184</v>
      </c>
      <c r="G21" s="11">
        <f>LTBL_13100[[#Totals],[法人／事業所数]]/LTBL_13100[[#Totals],[総数／事業所数]]</f>
        <v>0.67443338039681955</v>
      </c>
      <c r="I21" s="11">
        <f>LTBL_13100[[#Totals],[法人以外の団体／事業所数]]/LTBL_13100[[#Totals],[総数／事業所数]]</f>
        <v>1.0737905922568181E-3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100</v>
      </c>
      <c r="C24" s="12">
        <v>32800</v>
      </c>
      <c r="D24" s="8">
        <v>12.19</v>
      </c>
      <c r="E24" s="12">
        <v>8692</v>
      </c>
      <c r="F24" s="8">
        <v>9.98</v>
      </c>
      <c r="G24" s="12">
        <v>24067</v>
      </c>
      <c r="H24" s="8">
        <v>13.26</v>
      </c>
      <c r="I24" s="12">
        <v>36</v>
      </c>
    </row>
    <row r="25" spans="2:9" ht="15" customHeight="1" x14ac:dyDescent="0.2">
      <c r="B25" t="s">
        <v>103</v>
      </c>
      <c r="C25" s="12">
        <v>28461</v>
      </c>
      <c r="D25" s="8">
        <v>10.57</v>
      </c>
      <c r="E25" s="12">
        <v>19296</v>
      </c>
      <c r="F25" s="8">
        <v>22.16</v>
      </c>
      <c r="G25" s="12">
        <v>9159</v>
      </c>
      <c r="H25" s="8">
        <v>5.05</v>
      </c>
      <c r="I25" s="12">
        <v>6</v>
      </c>
    </row>
    <row r="26" spans="2:9" ht="15" customHeight="1" x14ac:dyDescent="0.2">
      <c r="B26" t="s">
        <v>101</v>
      </c>
      <c r="C26" s="12">
        <v>20487</v>
      </c>
      <c r="D26" s="8">
        <v>7.61</v>
      </c>
      <c r="E26" s="12">
        <v>9158</v>
      </c>
      <c r="F26" s="8">
        <v>10.52</v>
      </c>
      <c r="G26" s="12">
        <v>11308</v>
      </c>
      <c r="H26" s="8">
        <v>6.23</v>
      </c>
      <c r="I26" s="12">
        <v>21</v>
      </c>
    </row>
    <row r="27" spans="2:9" ht="15" customHeight="1" x14ac:dyDescent="0.2">
      <c r="B27" t="s">
        <v>104</v>
      </c>
      <c r="C27" s="12">
        <v>16695</v>
      </c>
      <c r="D27" s="8">
        <v>6.2</v>
      </c>
      <c r="E27" s="12">
        <v>11392</v>
      </c>
      <c r="F27" s="8">
        <v>13.08</v>
      </c>
      <c r="G27" s="12">
        <v>5302</v>
      </c>
      <c r="H27" s="8">
        <v>2.92</v>
      </c>
      <c r="I27" s="12">
        <v>1</v>
      </c>
    </row>
    <row r="28" spans="2:9" ht="15" customHeight="1" x14ac:dyDescent="0.2">
      <c r="B28" t="s">
        <v>98</v>
      </c>
      <c r="C28" s="12">
        <v>13199</v>
      </c>
      <c r="D28" s="8">
        <v>4.9000000000000004</v>
      </c>
      <c r="E28" s="12">
        <v>4941</v>
      </c>
      <c r="F28" s="8">
        <v>5.67</v>
      </c>
      <c r="G28" s="12">
        <v>8254</v>
      </c>
      <c r="H28" s="8">
        <v>4.55</v>
      </c>
      <c r="I28" s="12">
        <v>4</v>
      </c>
    </row>
    <row r="29" spans="2:9" ht="15" customHeight="1" x14ac:dyDescent="0.2">
      <c r="B29" t="s">
        <v>106</v>
      </c>
      <c r="C29" s="12">
        <v>9658</v>
      </c>
      <c r="D29" s="8">
        <v>3.59</v>
      </c>
      <c r="E29" s="12">
        <v>7494</v>
      </c>
      <c r="F29" s="8">
        <v>8.61</v>
      </c>
      <c r="G29" s="12">
        <v>2159</v>
      </c>
      <c r="H29" s="8">
        <v>1.19</v>
      </c>
      <c r="I29" s="12">
        <v>4</v>
      </c>
    </row>
    <row r="30" spans="2:9" ht="15" customHeight="1" x14ac:dyDescent="0.2">
      <c r="B30" t="s">
        <v>96</v>
      </c>
      <c r="C30" s="12">
        <v>8430</v>
      </c>
      <c r="D30" s="8">
        <v>3.13</v>
      </c>
      <c r="E30" s="12">
        <v>4211</v>
      </c>
      <c r="F30" s="8">
        <v>4.84</v>
      </c>
      <c r="G30" s="12">
        <v>4219</v>
      </c>
      <c r="H30" s="8">
        <v>2.3199999999999998</v>
      </c>
      <c r="I30" s="12">
        <v>0</v>
      </c>
    </row>
    <row r="31" spans="2:9" ht="15" customHeight="1" x14ac:dyDescent="0.2">
      <c r="B31" t="s">
        <v>89</v>
      </c>
      <c r="C31" s="12">
        <v>8288</v>
      </c>
      <c r="D31" s="8">
        <v>3.08</v>
      </c>
      <c r="E31" s="12">
        <v>1252</v>
      </c>
      <c r="F31" s="8">
        <v>1.44</v>
      </c>
      <c r="G31" s="12">
        <v>7035</v>
      </c>
      <c r="H31" s="8">
        <v>3.88</v>
      </c>
      <c r="I31" s="12">
        <v>1</v>
      </c>
    </row>
    <row r="32" spans="2:9" ht="15" customHeight="1" x14ac:dyDescent="0.2">
      <c r="B32" t="s">
        <v>88</v>
      </c>
      <c r="C32" s="12">
        <v>6971</v>
      </c>
      <c r="D32" s="8">
        <v>2.59</v>
      </c>
      <c r="E32" s="12">
        <v>629</v>
      </c>
      <c r="F32" s="8">
        <v>0.72</v>
      </c>
      <c r="G32" s="12">
        <v>6342</v>
      </c>
      <c r="H32" s="8">
        <v>3.49</v>
      </c>
      <c r="I32" s="12">
        <v>0</v>
      </c>
    </row>
    <row r="33" spans="2:9" ht="15" customHeight="1" x14ac:dyDescent="0.2">
      <c r="B33" t="s">
        <v>105</v>
      </c>
      <c r="C33" s="12">
        <v>6832</v>
      </c>
      <c r="D33" s="8">
        <v>2.54</v>
      </c>
      <c r="E33" s="12">
        <v>3313</v>
      </c>
      <c r="F33" s="8">
        <v>3.8</v>
      </c>
      <c r="G33" s="12">
        <v>3442</v>
      </c>
      <c r="H33" s="8">
        <v>1.9</v>
      </c>
      <c r="I33" s="12">
        <v>36</v>
      </c>
    </row>
    <row r="34" spans="2:9" ht="15" customHeight="1" x14ac:dyDescent="0.2">
      <c r="B34" t="s">
        <v>95</v>
      </c>
      <c r="C34" s="12">
        <v>6807</v>
      </c>
      <c r="D34" s="8">
        <v>2.5299999999999998</v>
      </c>
      <c r="E34" s="12">
        <v>2018</v>
      </c>
      <c r="F34" s="8">
        <v>2.3199999999999998</v>
      </c>
      <c r="G34" s="12">
        <v>4787</v>
      </c>
      <c r="H34" s="8">
        <v>2.64</v>
      </c>
      <c r="I34" s="12">
        <v>2</v>
      </c>
    </row>
    <row r="35" spans="2:9" ht="15" customHeight="1" x14ac:dyDescent="0.2">
      <c r="B35" t="s">
        <v>99</v>
      </c>
      <c r="C35" s="12">
        <v>6717</v>
      </c>
      <c r="D35" s="8">
        <v>2.5</v>
      </c>
      <c r="E35" s="12">
        <v>392</v>
      </c>
      <c r="F35" s="8">
        <v>0.45</v>
      </c>
      <c r="G35" s="12">
        <v>6325</v>
      </c>
      <c r="H35" s="8">
        <v>3.48</v>
      </c>
      <c r="I35" s="12">
        <v>0</v>
      </c>
    </row>
    <row r="36" spans="2:9" ht="15" customHeight="1" x14ac:dyDescent="0.2">
      <c r="B36" t="s">
        <v>90</v>
      </c>
      <c r="C36" s="12">
        <v>6596</v>
      </c>
      <c r="D36" s="8">
        <v>2.4500000000000002</v>
      </c>
      <c r="E36" s="12">
        <v>542</v>
      </c>
      <c r="F36" s="8">
        <v>0.62</v>
      </c>
      <c r="G36" s="12">
        <v>6052</v>
      </c>
      <c r="H36" s="8">
        <v>3.33</v>
      </c>
      <c r="I36" s="12">
        <v>2</v>
      </c>
    </row>
    <row r="37" spans="2:9" ht="15" customHeight="1" x14ac:dyDescent="0.2">
      <c r="B37" t="s">
        <v>107</v>
      </c>
      <c r="C37" s="12">
        <v>6175</v>
      </c>
      <c r="D37" s="8">
        <v>2.29</v>
      </c>
      <c r="E37" s="12">
        <v>257</v>
      </c>
      <c r="F37" s="8">
        <v>0.3</v>
      </c>
      <c r="G37" s="12">
        <v>5848</v>
      </c>
      <c r="H37" s="8">
        <v>3.22</v>
      </c>
      <c r="I37" s="12">
        <v>66</v>
      </c>
    </row>
    <row r="38" spans="2:9" ht="15" customHeight="1" x14ac:dyDescent="0.2">
      <c r="B38" t="s">
        <v>102</v>
      </c>
      <c r="C38" s="12">
        <v>6129</v>
      </c>
      <c r="D38" s="8">
        <v>2.2799999999999998</v>
      </c>
      <c r="E38" s="12">
        <v>1246</v>
      </c>
      <c r="F38" s="8">
        <v>1.43</v>
      </c>
      <c r="G38" s="12">
        <v>4848</v>
      </c>
      <c r="H38" s="8">
        <v>2.67</v>
      </c>
      <c r="I38" s="12">
        <v>4</v>
      </c>
    </row>
    <row r="39" spans="2:9" ht="15" customHeight="1" x14ac:dyDescent="0.2">
      <c r="B39" t="s">
        <v>94</v>
      </c>
      <c r="C39" s="12">
        <v>6007</v>
      </c>
      <c r="D39" s="8">
        <v>2.23</v>
      </c>
      <c r="E39" s="12">
        <v>377</v>
      </c>
      <c r="F39" s="8">
        <v>0.43</v>
      </c>
      <c r="G39" s="12">
        <v>5626</v>
      </c>
      <c r="H39" s="8">
        <v>3.1</v>
      </c>
      <c r="I39" s="12">
        <v>4</v>
      </c>
    </row>
    <row r="40" spans="2:9" ht="15" customHeight="1" x14ac:dyDescent="0.2">
      <c r="B40" t="s">
        <v>93</v>
      </c>
      <c r="C40" s="12">
        <v>4736</v>
      </c>
      <c r="D40" s="8">
        <v>1.76</v>
      </c>
      <c r="E40" s="12">
        <v>167</v>
      </c>
      <c r="F40" s="8">
        <v>0.19</v>
      </c>
      <c r="G40" s="12">
        <v>4568</v>
      </c>
      <c r="H40" s="8">
        <v>2.52</v>
      </c>
      <c r="I40" s="12">
        <v>1</v>
      </c>
    </row>
    <row r="41" spans="2:9" ht="15" customHeight="1" x14ac:dyDescent="0.2">
      <c r="B41" t="s">
        <v>91</v>
      </c>
      <c r="C41" s="12">
        <v>4637</v>
      </c>
      <c r="D41" s="8">
        <v>1.72</v>
      </c>
      <c r="E41" s="12">
        <v>49</v>
      </c>
      <c r="F41" s="8">
        <v>0.06</v>
      </c>
      <c r="G41" s="12">
        <v>4586</v>
      </c>
      <c r="H41" s="8">
        <v>2.5299999999999998</v>
      </c>
      <c r="I41" s="12">
        <v>2</v>
      </c>
    </row>
    <row r="42" spans="2:9" ht="15" customHeight="1" x14ac:dyDescent="0.2">
      <c r="B42" t="s">
        <v>92</v>
      </c>
      <c r="C42" s="12">
        <v>4246</v>
      </c>
      <c r="D42" s="8">
        <v>1.58</v>
      </c>
      <c r="E42" s="12">
        <v>173</v>
      </c>
      <c r="F42" s="8">
        <v>0.2</v>
      </c>
      <c r="G42" s="12">
        <v>4058</v>
      </c>
      <c r="H42" s="8">
        <v>2.2400000000000002</v>
      </c>
      <c r="I42" s="12">
        <v>15</v>
      </c>
    </row>
    <row r="43" spans="2:9" ht="15" customHeight="1" x14ac:dyDescent="0.2">
      <c r="B43" t="s">
        <v>108</v>
      </c>
      <c r="C43" s="12">
        <v>4242</v>
      </c>
      <c r="D43" s="8">
        <v>1.58</v>
      </c>
      <c r="E43" s="12">
        <v>605</v>
      </c>
      <c r="F43" s="8">
        <v>0.69</v>
      </c>
      <c r="G43" s="12">
        <v>3637</v>
      </c>
      <c r="H43" s="8">
        <v>2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17652</v>
      </c>
      <c r="D47" s="8">
        <v>6.56</v>
      </c>
      <c r="E47" s="12">
        <v>6476</v>
      </c>
      <c r="F47" s="8">
        <v>7.44</v>
      </c>
      <c r="G47" s="12">
        <v>11172</v>
      </c>
      <c r="H47" s="8">
        <v>6.15</v>
      </c>
      <c r="I47" s="12">
        <v>4</v>
      </c>
    </row>
    <row r="48" spans="2:9" ht="15" customHeight="1" x14ac:dyDescent="0.2">
      <c r="B48" t="s">
        <v>168</v>
      </c>
      <c r="C48" s="12">
        <v>9319</v>
      </c>
      <c r="D48" s="8">
        <v>3.46</v>
      </c>
      <c r="E48" s="12">
        <v>5697</v>
      </c>
      <c r="F48" s="8">
        <v>6.54</v>
      </c>
      <c r="G48" s="12">
        <v>3619</v>
      </c>
      <c r="H48" s="8">
        <v>1.99</v>
      </c>
      <c r="I48" s="12">
        <v>3</v>
      </c>
    </row>
    <row r="49" spans="2:9" ht="15" customHeight="1" x14ac:dyDescent="0.2">
      <c r="B49" t="s">
        <v>172</v>
      </c>
      <c r="C49" s="12">
        <v>7440</v>
      </c>
      <c r="D49" s="8">
        <v>2.76</v>
      </c>
      <c r="E49" s="12">
        <v>5446</v>
      </c>
      <c r="F49" s="8">
        <v>6.25</v>
      </c>
      <c r="G49" s="12">
        <v>1994</v>
      </c>
      <c r="H49" s="8">
        <v>1.1000000000000001</v>
      </c>
      <c r="I49" s="12">
        <v>0</v>
      </c>
    </row>
    <row r="50" spans="2:9" ht="15" customHeight="1" x14ac:dyDescent="0.2">
      <c r="B50" t="s">
        <v>169</v>
      </c>
      <c r="C50" s="12">
        <v>7008</v>
      </c>
      <c r="D50" s="8">
        <v>2.6</v>
      </c>
      <c r="E50" s="12">
        <v>5197</v>
      </c>
      <c r="F50" s="8">
        <v>5.97</v>
      </c>
      <c r="G50" s="12">
        <v>1811</v>
      </c>
      <c r="H50" s="8">
        <v>1</v>
      </c>
      <c r="I50" s="12">
        <v>0</v>
      </c>
    </row>
    <row r="51" spans="2:9" ht="15" customHeight="1" x14ac:dyDescent="0.2">
      <c r="B51" t="s">
        <v>161</v>
      </c>
      <c r="C51" s="12">
        <v>6866</v>
      </c>
      <c r="D51" s="8">
        <v>2.5499999999999998</v>
      </c>
      <c r="E51" s="12">
        <v>1235</v>
      </c>
      <c r="F51" s="8">
        <v>1.42</v>
      </c>
      <c r="G51" s="12">
        <v>5629</v>
      </c>
      <c r="H51" s="8">
        <v>3.1</v>
      </c>
      <c r="I51" s="12">
        <v>1</v>
      </c>
    </row>
    <row r="52" spans="2:9" ht="15" customHeight="1" x14ac:dyDescent="0.2">
      <c r="B52" t="s">
        <v>163</v>
      </c>
      <c r="C52" s="12">
        <v>6806</v>
      </c>
      <c r="D52" s="8">
        <v>2.5299999999999998</v>
      </c>
      <c r="E52" s="12">
        <v>234</v>
      </c>
      <c r="F52" s="8">
        <v>0.27</v>
      </c>
      <c r="G52" s="12">
        <v>6541</v>
      </c>
      <c r="H52" s="8">
        <v>3.6</v>
      </c>
      <c r="I52" s="12">
        <v>27</v>
      </c>
    </row>
    <row r="53" spans="2:9" ht="15" customHeight="1" x14ac:dyDescent="0.2">
      <c r="B53" t="s">
        <v>175</v>
      </c>
      <c r="C53" s="12">
        <v>5633</v>
      </c>
      <c r="D53" s="8">
        <v>2.09</v>
      </c>
      <c r="E53" s="12">
        <v>4217</v>
      </c>
      <c r="F53" s="8">
        <v>4.84</v>
      </c>
      <c r="G53" s="12">
        <v>1415</v>
      </c>
      <c r="H53" s="8">
        <v>0.78</v>
      </c>
      <c r="I53" s="12">
        <v>1</v>
      </c>
    </row>
    <row r="54" spans="2:9" ht="15" customHeight="1" x14ac:dyDescent="0.2">
      <c r="B54" t="s">
        <v>160</v>
      </c>
      <c r="C54" s="12">
        <v>5230</v>
      </c>
      <c r="D54" s="8">
        <v>1.94</v>
      </c>
      <c r="E54" s="12">
        <v>362</v>
      </c>
      <c r="F54" s="8">
        <v>0.42</v>
      </c>
      <c r="G54" s="12">
        <v>4868</v>
      </c>
      <c r="H54" s="8">
        <v>2.68</v>
      </c>
      <c r="I54" s="12">
        <v>0</v>
      </c>
    </row>
    <row r="55" spans="2:9" ht="15" customHeight="1" x14ac:dyDescent="0.2">
      <c r="B55" t="s">
        <v>159</v>
      </c>
      <c r="C55" s="12">
        <v>5176</v>
      </c>
      <c r="D55" s="8">
        <v>1.92</v>
      </c>
      <c r="E55" s="12">
        <v>2540</v>
      </c>
      <c r="F55" s="8">
        <v>2.92</v>
      </c>
      <c r="G55" s="12">
        <v>2635</v>
      </c>
      <c r="H55" s="8">
        <v>1.45</v>
      </c>
      <c r="I55" s="12">
        <v>1</v>
      </c>
    </row>
    <row r="56" spans="2:9" ht="15" customHeight="1" x14ac:dyDescent="0.2">
      <c r="B56" t="s">
        <v>166</v>
      </c>
      <c r="C56" s="12">
        <v>4881</v>
      </c>
      <c r="D56" s="8">
        <v>1.81</v>
      </c>
      <c r="E56" s="12">
        <v>212</v>
      </c>
      <c r="F56" s="8">
        <v>0.24</v>
      </c>
      <c r="G56" s="12">
        <v>4652</v>
      </c>
      <c r="H56" s="8">
        <v>2.56</v>
      </c>
      <c r="I56" s="12">
        <v>17</v>
      </c>
    </row>
    <row r="57" spans="2:9" ht="15" customHeight="1" x14ac:dyDescent="0.2">
      <c r="B57" t="s">
        <v>170</v>
      </c>
      <c r="C57" s="12">
        <v>4598</v>
      </c>
      <c r="D57" s="8">
        <v>1.71</v>
      </c>
      <c r="E57" s="12">
        <v>3607</v>
      </c>
      <c r="F57" s="8">
        <v>4.1399999999999997</v>
      </c>
      <c r="G57" s="12">
        <v>990</v>
      </c>
      <c r="H57" s="8">
        <v>0.55000000000000004</v>
      </c>
      <c r="I57" s="12">
        <v>1</v>
      </c>
    </row>
    <row r="58" spans="2:9" ht="15" customHeight="1" x14ac:dyDescent="0.2">
      <c r="B58" t="s">
        <v>173</v>
      </c>
      <c r="C58" s="12">
        <v>4477</v>
      </c>
      <c r="D58" s="8">
        <v>1.66</v>
      </c>
      <c r="E58" s="12">
        <v>2581</v>
      </c>
      <c r="F58" s="8">
        <v>2.96</v>
      </c>
      <c r="G58" s="12">
        <v>1874</v>
      </c>
      <c r="H58" s="8">
        <v>1.03</v>
      </c>
      <c r="I58" s="12">
        <v>22</v>
      </c>
    </row>
    <row r="59" spans="2:9" ht="15" customHeight="1" x14ac:dyDescent="0.2">
      <c r="B59" t="s">
        <v>164</v>
      </c>
      <c r="C59" s="12">
        <v>4411</v>
      </c>
      <c r="D59" s="8">
        <v>1.64</v>
      </c>
      <c r="E59" s="12">
        <v>4120</v>
      </c>
      <c r="F59" s="8">
        <v>4.7300000000000004</v>
      </c>
      <c r="G59" s="12">
        <v>291</v>
      </c>
      <c r="H59" s="8">
        <v>0.16</v>
      </c>
      <c r="I59" s="12">
        <v>0</v>
      </c>
    </row>
    <row r="60" spans="2:9" ht="15" customHeight="1" x14ac:dyDescent="0.2">
      <c r="B60" t="s">
        <v>176</v>
      </c>
      <c r="C60" s="12">
        <v>4171</v>
      </c>
      <c r="D60" s="8">
        <v>1.55</v>
      </c>
      <c r="E60" s="12">
        <v>194</v>
      </c>
      <c r="F60" s="8">
        <v>0.22</v>
      </c>
      <c r="G60" s="12">
        <v>3911</v>
      </c>
      <c r="H60" s="8">
        <v>2.15</v>
      </c>
      <c r="I60" s="12">
        <v>62</v>
      </c>
    </row>
    <row r="61" spans="2:9" ht="15" customHeight="1" x14ac:dyDescent="0.2">
      <c r="B61" t="s">
        <v>165</v>
      </c>
      <c r="C61" s="12">
        <v>4027</v>
      </c>
      <c r="D61" s="8">
        <v>1.5</v>
      </c>
      <c r="E61" s="12">
        <v>82</v>
      </c>
      <c r="F61" s="8">
        <v>0.09</v>
      </c>
      <c r="G61" s="12">
        <v>3942</v>
      </c>
      <c r="H61" s="8">
        <v>2.17</v>
      </c>
      <c r="I61" s="12">
        <v>3</v>
      </c>
    </row>
    <row r="62" spans="2:9" ht="15" customHeight="1" x14ac:dyDescent="0.2">
      <c r="B62" t="s">
        <v>171</v>
      </c>
      <c r="C62" s="12">
        <v>3971</v>
      </c>
      <c r="D62" s="8">
        <v>1.48</v>
      </c>
      <c r="E62" s="12">
        <v>3516</v>
      </c>
      <c r="F62" s="8">
        <v>4.04</v>
      </c>
      <c r="G62" s="12">
        <v>455</v>
      </c>
      <c r="H62" s="8">
        <v>0.25</v>
      </c>
      <c r="I62" s="12">
        <v>0</v>
      </c>
    </row>
    <row r="63" spans="2:9" ht="15" customHeight="1" x14ac:dyDescent="0.2">
      <c r="B63" t="s">
        <v>167</v>
      </c>
      <c r="C63" s="12">
        <v>3842</v>
      </c>
      <c r="D63" s="8">
        <v>1.43</v>
      </c>
      <c r="E63" s="12">
        <v>610</v>
      </c>
      <c r="F63" s="8">
        <v>0.7</v>
      </c>
      <c r="G63" s="12">
        <v>3200</v>
      </c>
      <c r="H63" s="8">
        <v>1.76</v>
      </c>
      <c r="I63" s="12">
        <v>3</v>
      </c>
    </row>
    <row r="64" spans="2:9" ht="15" customHeight="1" x14ac:dyDescent="0.2">
      <c r="B64" t="s">
        <v>157</v>
      </c>
      <c r="C64" s="12">
        <v>3814</v>
      </c>
      <c r="D64" s="8">
        <v>1.42</v>
      </c>
      <c r="E64" s="12">
        <v>40</v>
      </c>
      <c r="F64" s="8">
        <v>0.05</v>
      </c>
      <c r="G64" s="12">
        <v>3773</v>
      </c>
      <c r="H64" s="8">
        <v>2.08</v>
      </c>
      <c r="I64" s="12">
        <v>1</v>
      </c>
    </row>
    <row r="65" spans="2:9" ht="15" customHeight="1" x14ac:dyDescent="0.2">
      <c r="B65" t="s">
        <v>177</v>
      </c>
      <c r="C65" s="12">
        <v>3604</v>
      </c>
      <c r="D65" s="8">
        <v>1.34</v>
      </c>
      <c r="E65" s="12">
        <v>236</v>
      </c>
      <c r="F65" s="8">
        <v>0.27</v>
      </c>
      <c r="G65" s="12">
        <v>3366</v>
      </c>
      <c r="H65" s="8">
        <v>1.85</v>
      </c>
      <c r="I65" s="12">
        <v>2</v>
      </c>
    </row>
    <row r="66" spans="2:9" ht="15" customHeight="1" x14ac:dyDescent="0.2">
      <c r="B66" t="s">
        <v>158</v>
      </c>
      <c r="C66" s="12">
        <v>3604</v>
      </c>
      <c r="D66" s="8">
        <v>1.34</v>
      </c>
      <c r="E66" s="12">
        <v>1782</v>
      </c>
      <c r="F66" s="8">
        <v>2.0499999999999998</v>
      </c>
      <c r="G66" s="12">
        <v>1822</v>
      </c>
      <c r="H66" s="8">
        <v>1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A470-7ADF-4486-9CCE-A56C27518E30}">
  <sheetPr>
    <pageSetUpPr fitToPage="1"/>
  </sheetPr>
  <dimension ref="B2:I8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338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26</v>
      </c>
      <c r="D6" s="8">
        <v>20.16</v>
      </c>
      <c r="E6" s="12">
        <v>14</v>
      </c>
      <c r="F6" s="8">
        <v>19.18</v>
      </c>
      <c r="G6" s="12">
        <v>12</v>
      </c>
      <c r="H6" s="8">
        <v>22.64</v>
      </c>
      <c r="I6" s="12">
        <v>0</v>
      </c>
    </row>
    <row r="7" spans="2:9" ht="15" customHeight="1" x14ac:dyDescent="0.2">
      <c r="B7" t="s">
        <v>67</v>
      </c>
      <c r="C7" s="12">
        <v>12</v>
      </c>
      <c r="D7" s="8">
        <v>9.3000000000000007</v>
      </c>
      <c r="E7" s="12">
        <v>5</v>
      </c>
      <c r="F7" s="8">
        <v>6.85</v>
      </c>
      <c r="G7" s="12">
        <v>7</v>
      </c>
      <c r="H7" s="8">
        <v>13.21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1</v>
      </c>
      <c r="D10" s="8">
        <v>0.78</v>
      </c>
      <c r="E10" s="12">
        <v>0</v>
      </c>
      <c r="F10" s="8">
        <v>0</v>
      </c>
      <c r="G10" s="12">
        <v>1</v>
      </c>
      <c r="H10" s="8">
        <v>1.89</v>
      </c>
      <c r="I10" s="12">
        <v>0</v>
      </c>
    </row>
    <row r="11" spans="2:9" ht="15" customHeight="1" x14ac:dyDescent="0.2">
      <c r="B11" t="s">
        <v>71</v>
      </c>
      <c r="C11" s="12">
        <v>30</v>
      </c>
      <c r="D11" s="8">
        <v>23.26</v>
      </c>
      <c r="E11" s="12">
        <v>16</v>
      </c>
      <c r="F11" s="8">
        <v>21.92</v>
      </c>
      <c r="G11" s="12">
        <v>14</v>
      </c>
      <c r="H11" s="8">
        <v>26.42</v>
      </c>
      <c r="I11" s="12">
        <v>0</v>
      </c>
    </row>
    <row r="12" spans="2:9" ht="15" customHeight="1" x14ac:dyDescent="0.2">
      <c r="B12" t="s">
        <v>72</v>
      </c>
      <c r="C12" s="12">
        <v>1</v>
      </c>
      <c r="D12" s="8">
        <v>0.78</v>
      </c>
      <c r="E12" s="12">
        <v>0</v>
      </c>
      <c r="F12" s="8">
        <v>0</v>
      </c>
      <c r="G12" s="12">
        <v>1</v>
      </c>
      <c r="H12" s="8">
        <v>1.89</v>
      </c>
      <c r="I12" s="12">
        <v>0</v>
      </c>
    </row>
    <row r="13" spans="2:9" ht="15" customHeight="1" x14ac:dyDescent="0.2">
      <c r="B13" t="s">
        <v>73</v>
      </c>
      <c r="C13" s="12">
        <v>3</v>
      </c>
      <c r="D13" s="8">
        <v>2.33</v>
      </c>
      <c r="E13" s="12">
        <v>0</v>
      </c>
      <c r="F13" s="8">
        <v>0</v>
      </c>
      <c r="G13" s="12">
        <v>3</v>
      </c>
      <c r="H13" s="8">
        <v>5.66</v>
      </c>
      <c r="I13" s="12">
        <v>0</v>
      </c>
    </row>
    <row r="14" spans="2:9" ht="15" customHeight="1" x14ac:dyDescent="0.2">
      <c r="B14" t="s">
        <v>74</v>
      </c>
      <c r="C14" s="12">
        <v>3</v>
      </c>
      <c r="D14" s="8">
        <v>2.33</v>
      </c>
      <c r="E14" s="12">
        <v>1</v>
      </c>
      <c r="F14" s="8">
        <v>1.37</v>
      </c>
      <c r="G14" s="12">
        <v>2</v>
      </c>
      <c r="H14" s="8">
        <v>3.77</v>
      </c>
      <c r="I14" s="12">
        <v>0</v>
      </c>
    </row>
    <row r="15" spans="2:9" ht="15" customHeight="1" x14ac:dyDescent="0.2">
      <c r="B15" t="s">
        <v>75</v>
      </c>
      <c r="C15" s="12">
        <v>34</v>
      </c>
      <c r="D15" s="8">
        <v>26.36</v>
      </c>
      <c r="E15" s="12">
        <v>28</v>
      </c>
      <c r="F15" s="8">
        <v>38.36</v>
      </c>
      <c r="G15" s="12">
        <v>6</v>
      </c>
      <c r="H15" s="8">
        <v>11.32</v>
      </c>
      <c r="I15" s="12">
        <v>0</v>
      </c>
    </row>
    <row r="16" spans="2:9" ht="15" customHeight="1" x14ac:dyDescent="0.2">
      <c r="B16" t="s">
        <v>76</v>
      </c>
      <c r="C16" s="12">
        <v>10</v>
      </c>
      <c r="D16" s="8">
        <v>7.75</v>
      </c>
      <c r="E16" s="12">
        <v>6</v>
      </c>
      <c r="F16" s="8">
        <v>8.2200000000000006</v>
      </c>
      <c r="G16" s="12">
        <v>3</v>
      </c>
      <c r="H16" s="8">
        <v>5.66</v>
      </c>
      <c r="I16" s="12">
        <v>0</v>
      </c>
    </row>
    <row r="17" spans="2:9" ht="15" customHeight="1" x14ac:dyDescent="0.2">
      <c r="B17" t="s">
        <v>77</v>
      </c>
      <c r="C17" s="12">
        <v>2</v>
      </c>
      <c r="D17" s="8">
        <v>1.55</v>
      </c>
      <c r="E17" s="12">
        <v>0</v>
      </c>
      <c r="F17" s="8">
        <v>0</v>
      </c>
      <c r="G17" s="12">
        <v>1</v>
      </c>
      <c r="H17" s="8">
        <v>1.89</v>
      </c>
      <c r="I17" s="12">
        <v>0</v>
      </c>
    </row>
    <row r="18" spans="2:9" ht="15" customHeight="1" x14ac:dyDescent="0.2">
      <c r="B18" t="s">
        <v>78</v>
      </c>
      <c r="C18" s="12">
        <v>2</v>
      </c>
      <c r="D18" s="8">
        <v>1.55</v>
      </c>
      <c r="E18" s="12">
        <v>1</v>
      </c>
      <c r="F18" s="8">
        <v>1.37</v>
      </c>
      <c r="G18" s="12">
        <v>1</v>
      </c>
      <c r="H18" s="8">
        <v>1.89</v>
      </c>
      <c r="I18" s="12">
        <v>0</v>
      </c>
    </row>
    <row r="19" spans="2:9" ht="15" customHeight="1" x14ac:dyDescent="0.2">
      <c r="B19" t="s">
        <v>79</v>
      </c>
      <c r="C19" s="12">
        <v>5</v>
      </c>
      <c r="D19" s="8">
        <v>3.88</v>
      </c>
      <c r="E19" s="12">
        <v>2</v>
      </c>
      <c r="F19" s="8">
        <v>2.74</v>
      </c>
      <c r="G19" s="12">
        <v>2</v>
      </c>
      <c r="H19" s="8">
        <v>3.77</v>
      </c>
      <c r="I19" s="12">
        <v>0</v>
      </c>
    </row>
    <row r="20" spans="2:9" ht="15" customHeight="1" x14ac:dyDescent="0.2">
      <c r="B20" s="9" t="s">
        <v>280</v>
      </c>
      <c r="C20" s="12">
        <f>SUM(LTBL_13308[総数／事業所数])</f>
        <v>129</v>
      </c>
      <c r="E20" s="12">
        <f>SUBTOTAL(109,LTBL_13308[個人／事業所数])</f>
        <v>73</v>
      </c>
      <c r="G20" s="12">
        <f>SUBTOTAL(109,LTBL_13308[法人／事業所数])</f>
        <v>53</v>
      </c>
      <c r="I20" s="12">
        <f>SUBTOTAL(109,LTBL_13308[法人以外の団体／事業所数])</f>
        <v>0</v>
      </c>
    </row>
    <row r="21" spans="2:9" ht="15" customHeight="1" x14ac:dyDescent="0.2">
      <c r="E21" s="11">
        <f>LTBL_13308[[#Totals],[個人／事業所数]]/LTBL_13308[[#Totals],[総数／事業所数]]</f>
        <v>0.56589147286821706</v>
      </c>
      <c r="G21" s="11">
        <f>LTBL_13308[[#Totals],[法人／事業所数]]/LTBL_13308[[#Totals],[総数／事業所数]]</f>
        <v>0.41085271317829458</v>
      </c>
      <c r="I21" s="11">
        <f>LTBL_13308[[#Totals],[法人以外の団体／事業所数]]/LTBL_13308[[#Totals],[総数／事業所数]]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25</v>
      </c>
      <c r="D24" s="8">
        <v>19.38</v>
      </c>
      <c r="E24" s="12">
        <v>22</v>
      </c>
      <c r="F24" s="8">
        <v>30.14</v>
      </c>
      <c r="G24" s="12">
        <v>3</v>
      </c>
      <c r="H24" s="8">
        <v>5.66</v>
      </c>
      <c r="I24" s="12">
        <v>0</v>
      </c>
    </row>
    <row r="25" spans="2:9" ht="15" customHeight="1" x14ac:dyDescent="0.2">
      <c r="B25" t="s">
        <v>88</v>
      </c>
      <c r="C25" s="12">
        <v>20</v>
      </c>
      <c r="D25" s="8">
        <v>15.5</v>
      </c>
      <c r="E25" s="12">
        <v>11</v>
      </c>
      <c r="F25" s="8">
        <v>15.07</v>
      </c>
      <c r="G25" s="12">
        <v>9</v>
      </c>
      <c r="H25" s="8">
        <v>16.98</v>
      </c>
      <c r="I25" s="12">
        <v>0</v>
      </c>
    </row>
    <row r="26" spans="2:9" ht="15" customHeight="1" x14ac:dyDescent="0.2">
      <c r="B26" t="s">
        <v>96</v>
      </c>
      <c r="C26" s="12">
        <v>14</v>
      </c>
      <c r="D26" s="8">
        <v>10.85</v>
      </c>
      <c r="E26" s="12">
        <v>11</v>
      </c>
      <c r="F26" s="8">
        <v>15.07</v>
      </c>
      <c r="G26" s="12">
        <v>3</v>
      </c>
      <c r="H26" s="8">
        <v>5.66</v>
      </c>
      <c r="I26" s="12">
        <v>0</v>
      </c>
    </row>
    <row r="27" spans="2:9" ht="15" customHeight="1" x14ac:dyDescent="0.2">
      <c r="B27" t="s">
        <v>98</v>
      </c>
      <c r="C27" s="12">
        <v>9</v>
      </c>
      <c r="D27" s="8">
        <v>6.98</v>
      </c>
      <c r="E27" s="12">
        <v>2</v>
      </c>
      <c r="F27" s="8">
        <v>2.74</v>
      </c>
      <c r="G27" s="12">
        <v>7</v>
      </c>
      <c r="H27" s="8">
        <v>13.21</v>
      </c>
      <c r="I27" s="12">
        <v>0</v>
      </c>
    </row>
    <row r="28" spans="2:9" ht="15" customHeight="1" x14ac:dyDescent="0.2">
      <c r="B28" t="s">
        <v>144</v>
      </c>
      <c r="C28" s="12">
        <v>8</v>
      </c>
      <c r="D28" s="8">
        <v>6.2</v>
      </c>
      <c r="E28" s="12">
        <v>6</v>
      </c>
      <c r="F28" s="8">
        <v>8.2200000000000006</v>
      </c>
      <c r="G28" s="12">
        <v>2</v>
      </c>
      <c r="H28" s="8">
        <v>3.77</v>
      </c>
      <c r="I28" s="12">
        <v>0</v>
      </c>
    </row>
    <row r="29" spans="2:9" ht="15" customHeight="1" x14ac:dyDescent="0.2">
      <c r="B29" t="s">
        <v>104</v>
      </c>
      <c r="C29" s="12">
        <v>6</v>
      </c>
      <c r="D29" s="8">
        <v>4.6500000000000004</v>
      </c>
      <c r="E29" s="12">
        <v>6</v>
      </c>
      <c r="F29" s="8">
        <v>8.2200000000000006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89</v>
      </c>
      <c r="C30" s="12">
        <v>3</v>
      </c>
      <c r="D30" s="8">
        <v>2.33</v>
      </c>
      <c r="E30" s="12">
        <v>2</v>
      </c>
      <c r="F30" s="8">
        <v>2.74</v>
      </c>
      <c r="G30" s="12">
        <v>1</v>
      </c>
      <c r="H30" s="8">
        <v>1.89</v>
      </c>
      <c r="I30" s="12">
        <v>0</v>
      </c>
    </row>
    <row r="31" spans="2:9" ht="15" customHeight="1" x14ac:dyDescent="0.2">
      <c r="B31" t="s">
        <v>90</v>
      </c>
      <c r="C31" s="12">
        <v>3</v>
      </c>
      <c r="D31" s="8">
        <v>2.33</v>
      </c>
      <c r="E31" s="12">
        <v>1</v>
      </c>
      <c r="F31" s="8">
        <v>1.37</v>
      </c>
      <c r="G31" s="12">
        <v>2</v>
      </c>
      <c r="H31" s="8">
        <v>3.77</v>
      </c>
      <c r="I31" s="12">
        <v>0</v>
      </c>
    </row>
    <row r="32" spans="2:9" ht="15" customHeight="1" x14ac:dyDescent="0.2">
      <c r="B32" t="s">
        <v>114</v>
      </c>
      <c r="C32" s="12">
        <v>3</v>
      </c>
      <c r="D32" s="8">
        <v>2.33</v>
      </c>
      <c r="E32" s="12">
        <v>0</v>
      </c>
      <c r="F32" s="8">
        <v>0</v>
      </c>
      <c r="G32" s="12">
        <v>2</v>
      </c>
      <c r="H32" s="8">
        <v>3.77</v>
      </c>
      <c r="I32" s="12">
        <v>0</v>
      </c>
    </row>
    <row r="33" spans="2:9" ht="15" customHeight="1" x14ac:dyDescent="0.2">
      <c r="B33" t="s">
        <v>137</v>
      </c>
      <c r="C33" s="12">
        <v>2</v>
      </c>
      <c r="D33" s="8">
        <v>1.55</v>
      </c>
      <c r="E33" s="12">
        <v>2</v>
      </c>
      <c r="F33" s="8">
        <v>2.74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120</v>
      </c>
      <c r="C34" s="12">
        <v>2</v>
      </c>
      <c r="D34" s="8">
        <v>1.55</v>
      </c>
      <c r="E34" s="12">
        <v>0</v>
      </c>
      <c r="F34" s="8">
        <v>0</v>
      </c>
      <c r="G34" s="12">
        <v>2</v>
      </c>
      <c r="H34" s="8">
        <v>3.77</v>
      </c>
      <c r="I34" s="12">
        <v>0</v>
      </c>
    </row>
    <row r="35" spans="2:9" ht="15" customHeight="1" x14ac:dyDescent="0.2">
      <c r="B35" t="s">
        <v>127</v>
      </c>
      <c r="C35" s="12">
        <v>2</v>
      </c>
      <c r="D35" s="8">
        <v>1.55</v>
      </c>
      <c r="E35" s="12">
        <v>0</v>
      </c>
      <c r="F35" s="8">
        <v>0</v>
      </c>
      <c r="G35" s="12">
        <v>2</v>
      </c>
      <c r="H35" s="8">
        <v>3.77</v>
      </c>
      <c r="I35" s="12">
        <v>0</v>
      </c>
    </row>
    <row r="36" spans="2:9" ht="15" customHeight="1" x14ac:dyDescent="0.2">
      <c r="B36" t="s">
        <v>93</v>
      </c>
      <c r="C36" s="12">
        <v>2</v>
      </c>
      <c r="D36" s="8">
        <v>1.55</v>
      </c>
      <c r="E36" s="12">
        <v>0</v>
      </c>
      <c r="F36" s="8">
        <v>0</v>
      </c>
      <c r="G36" s="12">
        <v>2</v>
      </c>
      <c r="H36" s="8">
        <v>3.77</v>
      </c>
      <c r="I36" s="12">
        <v>0</v>
      </c>
    </row>
    <row r="37" spans="2:9" ht="15" customHeight="1" x14ac:dyDescent="0.2">
      <c r="B37" t="s">
        <v>95</v>
      </c>
      <c r="C37" s="12">
        <v>2</v>
      </c>
      <c r="D37" s="8">
        <v>1.55</v>
      </c>
      <c r="E37" s="12">
        <v>1</v>
      </c>
      <c r="F37" s="8">
        <v>1.37</v>
      </c>
      <c r="G37" s="12">
        <v>1</v>
      </c>
      <c r="H37" s="8">
        <v>1.89</v>
      </c>
      <c r="I37" s="12">
        <v>0</v>
      </c>
    </row>
    <row r="38" spans="2:9" ht="15" customHeight="1" x14ac:dyDescent="0.2">
      <c r="B38" t="s">
        <v>100</v>
      </c>
      <c r="C38" s="12">
        <v>2</v>
      </c>
      <c r="D38" s="8">
        <v>1.55</v>
      </c>
      <c r="E38" s="12">
        <v>0</v>
      </c>
      <c r="F38" s="8">
        <v>0</v>
      </c>
      <c r="G38" s="12">
        <v>2</v>
      </c>
      <c r="H38" s="8">
        <v>3.77</v>
      </c>
      <c r="I38" s="12">
        <v>0</v>
      </c>
    </row>
    <row r="39" spans="2:9" ht="15" customHeight="1" x14ac:dyDescent="0.2">
      <c r="B39" t="s">
        <v>102</v>
      </c>
      <c r="C39" s="12">
        <v>2</v>
      </c>
      <c r="D39" s="8">
        <v>1.55</v>
      </c>
      <c r="E39" s="12">
        <v>1</v>
      </c>
      <c r="F39" s="8">
        <v>1.37</v>
      </c>
      <c r="G39" s="12">
        <v>1</v>
      </c>
      <c r="H39" s="8">
        <v>1.89</v>
      </c>
      <c r="I39" s="12">
        <v>0</v>
      </c>
    </row>
    <row r="40" spans="2:9" ht="15" customHeight="1" x14ac:dyDescent="0.2">
      <c r="B40" t="s">
        <v>105</v>
      </c>
      <c r="C40" s="12">
        <v>2</v>
      </c>
      <c r="D40" s="8">
        <v>1.55</v>
      </c>
      <c r="E40" s="12">
        <v>0</v>
      </c>
      <c r="F40" s="8">
        <v>0</v>
      </c>
      <c r="G40" s="12">
        <v>1</v>
      </c>
      <c r="H40" s="8">
        <v>1.89</v>
      </c>
      <c r="I40" s="12">
        <v>0</v>
      </c>
    </row>
    <row r="41" spans="2:9" ht="15" customHeight="1" x14ac:dyDescent="0.2">
      <c r="B41" t="s">
        <v>106</v>
      </c>
      <c r="C41" s="12">
        <v>2</v>
      </c>
      <c r="D41" s="8">
        <v>1.55</v>
      </c>
      <c r="E41" s="12">
        <v>1</v>
      </c>
      <c r="F41" s="8">
        <v>1.37</v>
      </c>
      <c r="G41" s="12">
        <v>1</v>
      </c>
      <c r="H41" s="8">
        <v>1.89</v>
      </c>
      <c r="I41" s="12">
        <v>0</v>
      </c>
    </row>
    <row r="42" spans="2:9" ht="15" customHeight="1" x14ac:dyDescent="0.2">
      <c r="B42" t="s">
        <v>138</v>
      </c>
      <c r="C42" s="12">
        <v>1</v>
      </c>
      <c r="D42" s="8">
        <v>0.78</v>
      </c>
      <c r="E42" s="12">
        <v>0</v>
      </c>
      <c r="F42" s="8">
        <v>0</v>
      </c>
      <c r="G42" s="12">
        <v>1</v>
      </c>
      <c r="H42" s="8">
        <v>1.89</v>
      </c>
      <c r="I42" s="12">
        <v>0</v>
      </c>
    </row>
    <row r="43" spans="2:9" ht="15" customHeight="1" x14ac:dyDescent="0.2">
      <c r="B43" t="s">
        <v>108</v>
      </c>
      <c r="C43" s="12">
        <v>1</v>
      </c>
      <c r="D43" s="8">
        <v>0.78</v>
      </c>
      <c r="E43" s="12">
        <v>1</v>
      </c>
      <c r="F43" s="8">
        <v>1.37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146</v>
      </c>
      <c r="C44" s="12">
        <v>1</v>
      </c>
      <c r="D44" s="8">
        <v>0.78</v>
      </c>
      <c r="E44" s="12">
        <v>1</v>
      </c>
      <c r="F44" s="8">
        <v>1.37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119</v>
      </c>
      <c r="C45" s="12">
        <v>1</v>
      </c>
      <c r="D45" s="8">
        <v>0.78</v>
      </c>
      <c r="E45" s="12">
        <v>1</v>
      </c>
      <c r="F45" s="8">
        <v>1.37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121</v>
      </c>
      <c r="C46" s="12">
        <v>1</v>
      </c>
      <c r="D46" s="8">
        <v>0.78</v>
      </c>
      <c r="E46" s="12">
        <v>0</v>
      </c>
      <c r="F46" s="8">
        <v>0</v>
      </c>
      <c r="G46" s="12">
        <v>1</v>
      </c>
      <c r="H46" s="8">
        <v>1.89</v>
      </c>
      <c r="I46" s="12">
        <v>0</v>
      </c>
    </row>
    <row r="47" spans="2:9" ht="15" customHeight="1" x14ac:dyDescent="0.2">
      <c r="B47" t="s">
        <v>147</v>
      </c>
      <c r="C47" s="12">
        <v>1</v>
      </c>
      <c r="D47" s="8">
        <v>0.78</v>
      </c>
      <c r="E47" s="12">
        <v>0</v>
      </c>
      <c r="F47" s="8">
        <v>0</v>
      </c>
      <c r="G47" s="12">
        <v>1</v>
      </c>
      <c r="H47" s="8">
        <v>1.89</v>
      </c>
      <c r="I47" s="12">
        <v>0</v>
      </c>
    </row>
    <row r="48" spans="2:9" ht="15" customHeight="1" x14ac:dyDescent="0.2">
      <c r="B48" t="s">
        <v>128</v>
      </c>
      <c r="C48" s="12">
        <v>1</v>
      </c>
      <c r="D48" s="8">
        <v>0.78</v>
      </c>
      <c r="E48" s="12">
        <v>0</v>
      </c>
      <c r="F48" s="8">
        <v>0</v>
      </c>
      <c r="G48" s="12">
        <v>1</v>
      </c>
      <c r="H48" s="8">
        <v>1.89</v>
      </c>
      <c r="I48" s="12">
        <v>0</v>
      </c>
    </row>
    <row r="49" spans="2:9" ht="15" customHeight="1" x14ac:dyDescent="0.2">
      <c r="B49" t="s">
        <v>109</v>
      </c>
      <c r="C49" s="12">
        <v>1</v>
      </c>
      <c r="D49" s="8">
        <v>0.78</v>
      </c>
      <c r="E49" s="12">
        <v>1</v>
      </c>
      <c r="F49" s="8">
        <v>1.37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94</v>
      </c>
      <c r="C50" s="12">
        <v>1</v>
      </c>
      <c r="D50" s="8">
        <v>0.78</v>
      </c>
      <c r="E50" s="12">
        <v>1</v>
      </c>
      <c r="F50" s="8">
        <v>1.37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97</v>
      </c>
      <c r="C51" s="12">
        <v>1</v>
      </c>
      <c r="D51" s="8">
        <v>0.78</v>
      </c>
      <c r="E51" s="12">
        <v>0</v>
      </c>
      <c r="F51" s="8">
        <v>0</v>
      </c>
      <c r="G51" s="12">
        <v>1</v>
      </c>
      <c r="H51" s="8">
        <v>1.89</v>
      </c>
      <c r="I51" s="12">
        <v>0</v>
      </c>
    </row>
    <row r="52" spans="2:9" ht="15" customHeight="1" x14ac:dyDescent="0.2">
      <c r="B52" t="s">
        <v>111</v>
      </c>
      <c r="C52" s="12">
        <v>1</v>
      </c>
      <c r="D52" s="8">
        <v>0.78</v>
      </c>
      <c r="E52" s="12">
        <v>0</v>
      </c>
      <c r="F52" s="8">
        <v>0</v>
      </c>
      <c r="G52" s="12">
        <v>1</v>
      </c>
      <c r="H52" s="8">
        <v>1.89</v>
      </c>
      <c r="I52" s="12">
        <v>0</v>
      </c>
    </row>
    <row r="53" spans="2:9" ht="15" customHeight="1" x14ac:dyDescent="0.2">
      <c r="B53" t="s">
        <v>99</v>
      </c>
      <c r="C53" s="12">
        <v>1</v>
      </c>
      <c r="D53" s="8">
        <v>0.78</v>
      </c>
      <c r="E53" s="12">
        <v>0</v>
      </c>
      <c r="F53" s="8">
        <v>0</v>
      </c>
      <c r="G53" s="12">
        <v>1</v>
      </c>
      <c r="H53" s="8">
        <v>1.89</v>
      </c>
      <c r="I53" s="12">
        <v>0</v>
      </c>
    </row>
    <row r="54" spans="2:9" ht="15" customHeight="1" x14ac:dyDescent="0.2">
      <c r="B54" t="s">
        <v>101</v>
      </c>
      <c r="C54" s="12">
        <v>1</v>
      </c>
      <c r="D54" s="8">
        <v>0.78</v>
      </c>
      <c r="E54" s="12">
        <v>0</v>
      </c>
      <c r="F54" s="8">
        <v>0</v>
      </c>
      <c r="G54" s="12">
        <v>1</v>
      </c>
      <c r="H54" s="8">
        <v>1.89</v>
      </c>
      <c r="I54" s="12">
        <v>0</v>
      </c>
    </row>
    <row r="55" spans="2:9" ht="15" customHeight="1" x14ac:dyDescent="0.2">
      <c r="B55" t="s">
        <v>130</v>
      </c>
      <c r="C55" s="12">
        <v>1</v>
      </c>
      <c r="D55" s="8">
        <v>0.78</v>
      </c>
      <c r="E55" s="12">
        <v>0</v>
      </c>
      <c r="F55" s="8">
        <v>0</v>
      </c>
      <c r="G55" s="12">
        <v>1</v>
      </c>
      <c r="H55" s="8">
        <v>1.89</v>
      </c>
      <c r="I55" s="12">
        <v>0</v>
      </c>
    </row>
    <row r="56" spans="2:9" ht="15" customHeight="1" x14ac:dyDescent="0.2">
      <c r="B56" t="s">
        <v>115</v>
      </c>
      <c r="C56" s="12">
        <v>1</v>
      </c>
      <c r="D56" s="8">
        <v>0.78</v>
      </c>
      <c r="E56" s="12">
        <v>0</v>
      </c>
      <c r="F56" s="8">
        <v>0</v>
      </c>
      <c r="G56" s="12">
        <v>1</v>
      </c>
      <c r="H56" s="8">
        <v>1.89</v>
      </c>
      <c r="I56" s="12">
        <v>0</v>
      </c>
    </row>
    <row r="57" spans="2:9" ht="15" customHeight="1" x14ac:dyDescent="0.2">
      <c r="B57" t="s">
        <v>148</v>
      </c>
      <c r="C57" s="12">
        <v>1</v>
      </c>
      <c r="D57" s="8">
        <v>0.78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133</v>
      </c>
      <c r="C58" s="12">
        <v>1</v>
      </c>
      <c r="D58" s="8">
        <v>0.78</v>
      </c>
      <c r="E58" s="12">
        <v>1</v>
      </c>
      <c r="F58" s="8">
        <v>1.37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131</v>
      </c>
      <c r="C59" s="12">
        <v>1</v>
      </c>
      <c r="D59" s="8">
        <v>0.78</v>
      </c>
      <c r="E59" s="12">
        <v>1</v>
      </c>
      <c r="F59" s="8">
        <v>1.37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145</v>
      </c>
      <c r="C60" s="12">
        <v>1</v>
      </c>
      <c r="D60" s="8">
        <v>0.78</v>
      </c>
      <c r="E60" s="12">
        <v>0</v>
      </c>
      <c r="F60" s="8">
        <v>0</v>
      </c>
      <c r="G60" s="12">
        <v>1</v>
      </c>
      <c r="H60" s="8">
        <v>1.89</v>
      </c>
      <c r="I60" s="12">
        <v>0</v>
      </c>
    </row>
    <row r="61" spans="2:9" ht="15" customHeight="1" x14ac:dyDescent="0.2">
      <c r="B61" t="s">
        <v>107</v>
      </c>
      <c r="C61" s="12">
        <v>1</v>
      </c>
      <c r="D61" s="8">
        <v>0.78</v>
      </c>
      <c r="E61" s="12">
        <v>0</v>
      </c>
      <c r="F61" s="8">
        <v>0</v>
      </c>
      <c r="G61" s="12">
        <v>1</v>
      </c>
      <c r="H61" s="8">
        <v>1.89</v>
      </c>
      <c r="I61" s="12">
        <v>0</v>
      </c>
    </row>
    <row r="64" spans="2:9" ht="33" customHeight="1" x14ac:dyDescent="0.2">
      <c r="B64" t="s">
        <v>282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</row>
    <row r="65" spans="2:9" ht="15" customHeight="1" x14ac:dyDescent="0.2">
      <c r="B65" t="s">
        <v>223</v>
      </c>
      <c r="C65" s="12">
        <v>11</v>
      </c>
      <c r="D65" s="8">
        <v>8.5299999999999994</v>
      </c>
      <c r="E65" s="12">
        <v>9</v>
      </c>
      <c r="F65" s="8">
        <v>12.33</v>
      </c>
      <c r="G65" s="12">
        <v>2</v>
      </c>
      <c r="H65" s="8">
        <v>3.77</v>
      </c>
      <c r="I65" s="12">
        <v>0</v>
      </c>
    </row>
    <row r="66" spans="2:9" ht="15" customHeight="1" x14ac:dyDescent="0.2">
      <c r="B66" t="s">
        <v>220</v>
      </c>
      <c r="C66" s="12">
        <v>8</v>
      </c>
      <c r="D66" s="8">
        <v>6.2</v>
      </c>
      <c r="E66" s="12">
        <v>2</v>
      </c>
      <c r="F66" s="8">
        <v>2.74</v>
      </c>
      <c r="G66" s="12">
        <v>6</v>
      </c>
      <c r="H66" s="8">
        <v>11.32</v>
      </c>
      <c r="I66" s="12">
        <v>0</v>
      </c>
    </row>
    <row r="67" spans="2:9" ht="15" customHeight="1" x14ac:dyDescent="0.2">
      <c r="B67" t="s">
        <v>158</v>
      </c>
      <c r="C67" s="12">
        <v>7</v>
      </c>
      <c r="D67" s="8">
        <v>5.43</v>
      </c>
      <c r="E67" s="12">
        <v>6</v>
      </c>
      <c r="F67" s="8">
        <v>8.2200000000000006</v>
      </c>
      <c r="G67" s="12">
        <v>1</v>
      </c>
      <c r="H67" s="8">
        <v>1.89</v>
      </c>
      <c r="I67" s="12">
        <v>0</v>
      </c>
    </row>
    <row r="68" spans="2:9" ht="15" customHeight="1" x14ac:dyDescent="0.2">
      <c r="B68" t="s">
        <v>216</v>
      </c>
      <c r="C68" s="12">
        <v>6</v>
      </c>
      <c r="D68" s="8">
        <v>4.6500000000000004</v>
      </c>
      <c r="E68" s="12">
        <v>5</v>
      </c>
      <c r="F68" s="8">
        <v>6.85</v>
      </c>
      <c r="G68" s="12">
        <v>1</v>
      </c>
      <c r="H68" s="8">
        <v>1.89</v>
      </c>
      <c r="I68" s="12">
        <v>0</v>
      </c>
    </row>
    <row r="69" spans="2:9" ht="15" customHeight="1" x14ac:dyDescent="0.2">
      <c r="B69" t="s">
        <v>169</v>
      </c>
      <c r="C69" s="12">
        <v>6</v>
      </c>
      <c r="D69" s="8">
        <v>4.6500000000000004</v>
      </c>
      <c r="E69" s="12">
        <v>5</v>
      </c>
      <c r="F69" s="8">
        <v>6.85</v>
      </c>
      <c r="G69" s="12">
        <v>1</v>
      </c>
      <c r="H69" s="8">
        <v>1.89</v>
      </c>
      <c r="I69" s="12">
        <v>0</v>
      </c>
    </row>
    <row r="70" spans="2:9" ht="15" customHeight="1" x14ac:dyDescent="0.2">
      <c r="B70" t="s">
        <v>241</v>
      </c>
      <c r="C70" s="12">
        <v>5</v>
      </c>
      <c r="D70" s="8">
        <v>3.88</v>
      </c>
      <c r="E70" s="12">
        <v>1</v>
      </c>
      <c r="F70" s="8">
        <v>1.37</v>
      </c>
      <c r="G70" s="12">
        <v>4</v>
      </c>
      <c r="H70" s="8">
        <v>7.55</v>
      </c>
      <c r="I70" s="12">
        <v>0</v>
      </c>
    </row>
    <row r="71" spans="2:9" ht="15" customHeight="1" x14ac:dyDescent="0.2">
      <c r="B71" t="s">
        <v>244</v>
      </c>
      <c r="C71" s="12">
        <v>5</v>
      </c>
      <c r="D71" s="8">
        <v>3.88</v>
      </c>
      <c r="E71" s="12">
        <v>4</v>
      </c>
      <c r="F71" s="8">
        <v>5.48</v>
      </c>
      <c r="G71" s="12">
        <v>1</v>
      </c>
      <c r="H71" s="8">
        <v>1.89</v>
      </c>
      <c r="I71" s="12">
        <v>0</v>
      </c>
    </row>
    <row r="72" spans="2:9" ht="15" customHeight="1" x14ac:dyDescent="0.2">
      <c r="B72" t="s">
        <v>168</v>
      </c>
      <c r="C72" s="12">
        <v>5</v>
      </c>
      <c r="D72" s="8">
        <v>3.88</v>
      </c>
      <c r="E72" s="12">
        <v>5</v>
      </c>
      <c r="F72" s="8">
        <v>6.85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191</v>
      </c>
      <c r="C73" s="12">
        <v>5</v>
      </c>
      <c r="D73" s="8">
        <v>3.88</v>
      </c>
      <c r="E73" s="12">
        <v>5</v>
      </c>
      <c r="F73" s="8">
        <v>6.85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205</v>
      </c>
      <c r="C74" s="12">
        <v>3</v>
      </c>
      <c r="D74" s="8">
        <v>2.33</v>
      </c>
      <c r="E74" s="12">
        <v>3</v>
      </c>
      <c r="F74" s="8">
        <v>4.1100000000000003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242</v>
      </c>
      <c r="C75" s="12">
        <v>3</v>
      </c>
      <c r="D75" s="8">
        <v>2.33</v>
      </c>
      <c r="E75" s="12">
        <v>2</v>
      </c>
      <c r="F75" s="8">
        <v>2.74</v>
      </c>
      <c r="G75" s="12">
        <v>1</v>
      </c>
      <c r="H75" s="8">
        <v>1.89</v>
      </c>
      <c r="I75" s="12">
        <v>0</v>
      </c>
    </row>
    <row r="76" spans="2:9" ht="15" customHeight="1" x14ac:dyDescent="0.2">
      <c r="B76" t="s">
        <v>171</v>
      </c>
      <c r="C76" s="12">
        <v>3</v>
      </c>
      <c r="D76" s="8">
        <v>2.33</v>
      </c>
      <c r="E76" s="12">
        <v>3</v>
      </c>
      <c r="F76" s="8">
        <v>4.1100000000000003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246</v>
      </c>
      <c r="C77" s="12">
        <v>2</v>
      </c>
      <c r="D77" s="8">
        <v>1.55</v>
      </c>
      <c r="E77" s="12">
        <v>2</v>
      </c>
      <c r="F77" s="8">
        <v>2.74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199</v>
      </c>
      <c r="C78" s="12">
        <v>2</v>
      </c>
      <c r="D78" s="8">
        <v>1.55</v>
      </c>
      <c r="E78" s="12">
        <v>1</v>
      </c>
      <c r="F78" s="8">
        <v>1.37</v>
      </c>
      <c r="G78" s="12">
        <v>1</v>
      </c>
      <c r="H78" s="8">
        <v>1.89</v>
      </c>
      <c r="I78" s="12">
        <v>0</v>
      </c>
    </row>
    <row r="79" spans="2:9" ht="15" customHeight="1" x14ac:dyDescent="0.2">
      <c r="B79" t="s">
        <v>247</v>
      </c>
      <c r="C79" s="12">
        <v>2</v>
      </c>
      <c r="D79" s="8">
        <v>1.55</v>
      </c>
      <c r="E79" s="12">
        <v>0</v>
      </c>
      <c r="F79" s="8">
        <v>0</v>
      </c>
      <c r="G79" s="12">
        <v>2</v>
      </c>
      <c r="H79" s="8">
        <v>3.77</v>
      </c>
      <c r="I79" s="12">
        <v>0</v>
      </c>
    </row>
    <row r="80" spans="2:9" ht="15" customHeight="1" x14ac:dyDescent="0.2">
      <c r="B80" t="s">
        <v>159</v>
      </c>
      <c r="C80" s="12">
        <v>2</v>
      </c>
      <c r="D80" s="8">
        <v>1.55</v>
      </c>
      <c r="E80" s="12">
        <v>1</v>
      </c>
      <c r="F80" s="8">
        <v>1.37</v>
      </c>
      <c r="G80" s="12">
        <v>1</v>
      </c>
      <c r="H80" s="8">
        <v>1.89</v>
      </c>
      <c r="I80" s="12">
        <v>0</v>
      </c>
    </row>
    <row r="81" spans="2:9" ht="15" customHeight="1" x14ac:dyDescent="0.2">
      <c r="B81" t="s">
        <v>161</v>
      </c>
      <c r="C81" s="12">
        <v>2</v>
      </c>
      <c r="D81" s="8">
        <v>1.55</v>
      </c>
      <c r="E81" s="12">
        <v>0</v>
      </c>
      <c r="F81" s="8">
        <v>0</v>
      </c>
      <c r="G81" s="12">
        <v>2</v>
      </c>
      <c r="H81" s="8">
        <v>3.77</v>
      </c>
      <c r="I81" s="12">
        <v>0</v>
      </c>
    </row>
    <row r="82" spans="2:9" ht="15" customHeight="1" x14ac:dyDescent="0.2">
      <c r="B82" t="s">
        <v>167</v>
      </c>
      <c r="C82" s="12">
        <v>2</v>
      </c>
      <c r="D82" s="8">
        <v>1.55</v>
      </c>
      <c r="E82" s="12">
        <v>1</v>
      </c>
      <c r="F82" s="8">
        <v>1.37</v>
      </c>
      <c r="G82" s="12">
        <v>1</v>
      </c>
      <c r="H82" s="8">
        <v>1.89</v>
      </c>
      <c r="I82" s="12">
        <v>0</v>
      </c>
    </row>
    <row r="83" spans="2:9" ht="15" customHeight="1" x14ac:dyDescent="0.2">
      <c r="B83" t="s">
        <v>245</v>
      </c>
      <c r="C83" s="12">
        <v>2</v>
      </c>
      <c r="D83" s="8">
        <v>1.55</v>
      </c>
      <c r="E83" s="12">
        <v>1</v>
      </c>
      <c r="F83" s="8">
        <v>1.37</v>
      </c>
      <c r="G83" s="12">
        <v>1</v>
      </c>
      <c r="H83" s="8">
        <v>1.89</v>
      </c>
      <c r="I83" s="12">
        <v>0</v>
      </c>
    </row>
    <row r="84" spans="2:9" ht="15" customHeight="1" x14ac:dyDescent="0.2">
      <c r="B84" t="s">
        <v>197</v>
      </c>
      <c r="C84" s="12">
        <v>2</v>
      </c>
      <c r="D84" s="8">
        <v>1.55</v>
      </c>
      <c r="E84" s="12">
        <v>2</v>
      </c>
      <c r="F84" s="8">
        <v>2.74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248</v>
      </c>
      <c r="C85" s="12">
        <v>2</v>
      </c>
      <c r="D85" s="8">
        <v>1.55</v>
      </c>
      <c r="E85" s="12">
        <v>0</v>
      </c>
      <c r="F85" s="8">
        <v>0</v>
      </c>
      <c r="G85" s="12">
        <v>2</v>
      </c>
      <c r="H85" s="8">
        <v>3.77</v>
      </c>
      <c r="I85" s="12">
        <v>0</v>
      </c>
    </row>
    <row r="86" spans="2:9" ht="15" customHeight="1" x14ac:dyDescent="0.2">
      <c r="B86" t="s">
        <v>249</v>
      </c>
      <c r="C86" s="12">
        <v>2</v>
      </c>
      <c r="D86" s="8">
        <v>1.55</v>
      </c>
      <c r="E86" s="12">
        <v>0</v>
      </c>
      <c r="F86" s="8">
        <v>0</v>
      </c>
      <c r="G86" s="12">
        <v>1</v>
      </c>
      <c r="H86" s="8">
        <v>1.89</v>
      </c>
      <c r="I86" s="12">
        <v>0</v>
      </c>
    </row>
    <row r="88" spans="2:9" ht="15" customHeight="1" x14ac:dyDescent="0.2">
      <c r="B8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BF93-E97A-481E-84A3-1ECF2E703B82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339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0.27</v>
      </c>
      <c r="E5" s="12">
        <v>0</v>
      </c>
      <c r="F5" s="8">
        <v>0</v>
      </c>
      <c r="G5" s="12">
        <v>1</v>
      </c>
      <c r="H5" s="8">
        <v>0.76</v>
      </c>
      <c r="I5" s="12">
        <v>0</v>
      </c>
    </row>
    <row r="6" spans="2:9" ht="15" customHeight="1" x14ac:dyDescent="0.2">
      <c r="B6" t="s">
        <v>66</v>
      </c>
      <c r="C6" s="12">
        <v>49</v>
      </c>
      <c r="D6" s="8">
        <v>13.07</v>
      </c>
      <c r="E6" s="12">
        <v>21</v>
      </c>
      <c r="F6" s="8">
        <v>8.94</v>
      </c>
      <c r="G6" s="12">
        <v>28</v>
      </c>
      <c r="H6" s="8">
        <v>21.21</v>
      </c>
      <c r="I6" s="12">
        <v>0</v>
      </c>
    </row>
    <row r="7" spans="2:9" ht="15" customHeight="1" x14ac:dyDescent="0.2">
      <c r="B7" t="s">
        <v>67</v>
      </c>
      <c r="C7" s="12">
        <v>22</v>
      </c>
      <c r="D7" s="8">
        <v>5.87</v>
      </c>
      <c r="E7" s="12">
        <v>7</v>
      </c>
      <c r="F7" s="8">
        <v>2.98</v>
      </c>
      <c r="G7" s="12">
        <v>15</v>
      </c>
      <c r="H7" s="8">
        <v>11.36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0.53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</v>
      </c>
      <c r="D9" s="8">
        <v>0.27</v>
      </c>
      <c r="E9" s="12">
        <v>0</v>
      </c>
      <c r="F9" s="8">
        <v>0</v>
      </c>
      <c r="G9" s="12">
        <v>1</v>
      </c>
      <c r="H9" s="8">
        <v>0.76</v>
      </c>
      <c r="I9" s="12">
        <v>0</v>
      </c>
    </row>
    <row r="10" spans="2:9" ht="15" customHeight="1" x14ac:dyDescent="0.2">
      <c r="B10" t="s">
        <v>70</v>
      </c>
      <c r="C10" s="12">
        <v>6</v>
      </c>
      <c r="D10" s="8">
        <v>1.6</v>
      </c>
      <c r="E10" s="12">
        <v>4</v>
      </c>
      <c r="F10" s="8">
        <v>1.7</v>
      </c>
      <c r="G10" s="12">
        <v>2</v>
      </c>
      <c r="H10" s="8">
        <v>1.52</v>
      </c>
      <c r="I10" s="12">
        <v>0</v>
      </c>
    </row>
    <row r="11" spans="2:9" ht="15" customHeight="1" x14ac:dyDescent="0.2">
      <c r="B11" t="s">
        <v>71</v>
      </c>
      <c r="C11" s="12">
        <v>120</v>
      </c>
      <c r="D11" s="8">
        <v>32</v>
      </c>
      <c r="E11" s="12">
        <v>76</v>
      </c>
      <c r="F11" s="8">
        <v>32.340000000000003</v>
      </c>
      <c r="G11" s="12">
        <v>43</v>
      </c>
      <c r="H11" s="8">
        <v>32.58</v>
      </c>
      <c r="I11" s="12">
        <v>0</v>
      </c>
    </row>
    <row r="12" spans="2:9" ht="15" customHeight="1" x14ac:dyDescent="0.2">
      <c r="B12" t="s">
        <v>72</v>
      </c>
      <c r="C12" s="12">
        <v>3</v>
      </c>
      <c r="D12" s="8">
        <v>0.8</v>
      </c>
      <c r="E12" s="12">
        <v>1</v>
      </c>
      <c r="F12" s="8">
        <v>0.43</v>
      </c>
      <c r="G12" s="12">
        <v>2</v>
      </c>
      <c r="H12" s="8">
        <v>1.52</v>
      </c>
      <c r="I12" s="12">
        <v>0</v>
      </c>
    </row>
    <row r="13" spans="2:9" ht="15" customHeight="1" x14ac:dyDescent="0.2">
      <c r="B13" t="s">
        <v>73</v>
      </c>
      <c r="C13" s="12">
        <v>7</v>
      </c>
      <c r="D13" s="8">
        <v>1.87</v>
      </c>
      <c r="E13" s="12">
        <v>6</v>
      </c>
      <c r="F13" s="8">
        <v>2.5499999999999998</v>
      </c>
      <c r="G13" s="12">
        <v>1</v>
      </c>
      <c r="H13" s="8">
        <v>0.76</v>
      </c>
      <c r="I13" s="12">
        <v>0</v>
      </c>
    </row>
    <row r="14" spans="2:9" ht="15" customHeight="1" x14ac:dyDescent="0.2">
      <c r="B14" t="s">
        <v>74</v>
      </c>
      <c r="C14" s="12">
        <v>8</v>
      </c>
      <c r="D14" s="8">
        <v>2.13</v>
      </c>
      <c r="E14" s="12">
        <v>4</v>
      </c>
      <c r="F14" s="8">
        <v>1.7</v>
      </c>
      <c r="G14" s="12">
        <v>4</v>
      </c>
      <c r="H14" s="8">
        <v>3.03</v>
      </c>
      <c r="I14" s="12">
        <v>0</v>
      </c>
    </row>
    <row r="15" spans="2:9" ht="15" customHeight="1" x14ac:dyDescent="0.2">
      <c r="B15" t="s">
        <v>75</v>
      </c>
      <c r="C15" s="12">
        <v>95</v>
      </c>
      <c r="D15" s="8">
        <v>25.33</v>
      </c>
      <c r="E15" s="12">
        <v>76</v>
      </c>
      <c r="F15" s="8">
        <v>32.340000000000003</v>
      </c>
      <c r="G15" s="12">
        <v>18</v>
      </c>
      <c r="H15" s="8">
        <v>13.64</v>
      </c>
      <c r="I15" s="12">
        <v>0</v>
      </c>
    </row>
    <row r="16" spans="2:9" ht="15" customHeight="1" x14ac:dyDescent="0.2">
      <c r="B16" t="s">
        <v>76</v>
      </c>
      <c r="C16" s="12">
        <v>32</v>
      </c>
      <c r="D16" s="8">
        <v>8.5299999999999994</v>
      </c>
      <c r="E16" s="12">
        <v>25</v>
      </c>
      <c r="F16" s="8">
        <v>10.64</v>
      </c>
      <c r="G16" s="12">
        <v>5</v>
      </c>
      <c r="H16" s="8">
        <v>3.79</v>
      </c>
      <c r="I16" s="12">
        <v>0</v>
      </c>
    </row>
    <row r="17" spans="2:9" ht="15" customHeight="1" x14ac:dyDescent="0.2">
      <c r="B17" t="s">
        <v>77</v>
      </c>
      <c r="C17" s="12">
        <v>9</v>
      </c>
      <c r="D17" s="8">
        <v>2.4</v>
      </c>
      <c r="E17" s="12">
        <v>6</v>
      </c>
      <c r="F17" s="8">
        <v>2.5499999999999998</v>
      </c>
      <c r="G17" s="12">
        <v>1</v>
      </c>
      <c r="H17" s="8">
        <v>0.76</v>
      </c>
      <c r="I17" s="12">
        <v>0</v>
      </c>
    </row>
    <row r="18" spans="2:9" ht="15" customHeight="1" x14ac:dyDescent="0.2">
      <c r="B18" t="s">
        <v>78</v>
      </c>
      <c r="C18" s="12">
        <v>10</v>
      </c>
      <c r="D18" s="8">
        <v>2.67</v>
      </c>
      <c r="E18" s="12">
        <v>4</v>
      </c>
      <c r="F18" s="8">
        <v>1.7</v>
      </c>
      <c r="G18" s="12">
        <v>6</v>
      </c>
      <c r="H18" s="8">
        <v>4.55</v>
      </c>
      <c r="I18" s="12">
        <v>0</v>
      </c>
    </row>
    <row r="19" spans="2:9" ht="15" customHeight="1" x14ac:dyDescent="0.2">
      <c r="B19" t="s">
        <v>79</v>
      </c>
      <c r="C19" s="12">
        <v>10</v>
      </c>
      <c r="D19" s="8">
        <v>2.67</v>
      </c>
      <c r="E19" s="12">
        <v>5</v>
      </c>
      <c r="F19" s="8">
        <v>2.13</v>
      </c>
      <c r="G19" s="12">
        <v>5</v>
      </c>
      <c r="H19" s="8">
        <v>3.79</v>
      </c>
      <c r="I19" s="12">
        <v>0</v>
      </c>
    </row>
    <row r="20" spans="2:9" ht="15" customHeight="1" x14ac:dyDescent="0.2">
      <c r="B20" s="9" t="s">
        <v>280</v>
      </c>
      <c r="C20" s="12">
        <f>SUM(LTBL_13361[総数／事業所数])</f>
        <v>375</v>
      </c>
      <c r="E20" s="12">
        <f>SUBTOTAL(109,LTBL_13361[個人／事業所数])</f>
        <v>235</v>
      </c>
      <c r="G20" s="12">
        <f>SUBTOTAL(109,LTBL_13361[法人／事業所数])</f>
        <v>132</v>
      </c>
      <c r="I20" s="12">
        <f>SUBTOTAL(109,LTBL_13361[法人以外の団体／事業所数])</f>
        <v>0</v>
      </c>
    </row>
    <row r="21" spans="2:9" ht="15" customHeight="1" x14ac:dyDescent="0.2">
      <c r="E21" s="11">
        <f>LTBL_13361[[#Totals],[個人／事業所数]]/LTBL_13361[[#Totals],[総数／事業所数]]</f>
        <v>0.62666666666666671</v>
      </c>
      <c r="G21" s="11">
        <f>LTBL_13361[[#Totals],[法人／事業所数]]/LTBL_13361[[#Totals],[総数／事業所数]]</f>
        <v>0.35199999999999998</v>
      </c>
      <c r="I21" s="11">
        <f>LTBL_13361[[#Totals],[法人以外の団体／事業所数]]/LTBL_13361[[#Totals],[総数／事業所数]]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48</v>
      </c>
      <c r="D24" s="8">
        <v>12.8</v>
      </c>
      <c r="E24" s="12">
        <v>38</v>
      </c>
      <c r="F24" s="8">
        <v>16.170000000000002</v>
      </c>
      <c r="G24" s="12">
        <v>10</v>
      </c>
      <c r="H24" s="8">
        <v>7.58</v>
      </c>
      <c r="I24" s="12">
        <v>0</v>
      </c>
    </row>
    <row r="25" spans="2:9" ht="15" customHeight="1" x14ac:dyDescent="0.2">
      <c r="B25" t="s">
        <v>96</v>
      </c>
      <c r="C25" s="12">
        <v>42</v>
      </c>
      <c r="D25" s="8">
        <v>11.2</v>
      </c>
      <c r="E25" s="12">
        <v>31</v>
      </c>
      <c r="F25" s="8">
        <v>13.19</v>
      </c>
      <c r="G25" s="12">
        <v>10</v>
      </c>
      <c r="H25" s="8">
        <v>7.58</v>
      </c>
      <c r="I25" s="12">
        <v>0</v>
      </c>
    </row>
    <row r="26" spans="2:9" ht="15" customHeight="1" x14ac:dyDescent="0.2">
      <c r="B26" t="s">
        <v>103</v>
      </c>
      <c r="C26" s="12">
        <v>42</v>
      </c>
      <c r="D26" s="8">
        <v>11.2</v>
      </c>
      <c r="E26" s="12">
        <v>36</v>
      </c>
      <c r="F26" s="8">
        <v>15.32</v>
      </c>
      <c r="G26" s="12">
        <v>6</v>
      </c>
      <c r="H26" s="8">
        <v>4.55</v>
      </c>
      <c r="I26" s="12">
        <v>0</v>
      </c>
    </row>
    <row r="27" spans="2:9" ht="15" customHeight="1" x14ac:dyDescent="0.2">
      <c r="B27" t="s">
        <v>98</v>
      </c>
      <c r="C27" s="12">
        <v>40</v>
      </c>
      <c r="D27" s="8">
        <v>10.67</v>
      </c>
      <c r="E27" s="12">
        <v>26</v>
      </c>
      <c r="F27" s="8">
        <v>11.06</v>
      </c>
      <c r="G27" s="12">
        <v>14</v>
      </c>
      <c r="H27" s="8">
        <v>10.61</v>
      </c>
      <c r="I27" s="12">
        <v>0</v>
      </c>
    </row>
    <row r="28" spans="2:9" ht="15" customHeight="1" x14ac:dyDescent="0.2">
      <c r="B28" t="s">
        <v>88</v>
      </c>
      <c r="C28" s="12">
        <v>30</v>
      </c>
      <c r="D28" s="8">
        <v>8</v>
      </c>
      <c r="E28" s="12">
        <v>12</v>
      </c>
      <c r="F28" s="8">
        <v>5.1100000000000003</v>
      </c>
      <c r="G28" s="12">
        <v>18</v>
      </c>
      <c r="H28" s="8">
        <v>13.64</v>
      </c>
      <c r="I28" s="12">
        <v>0</v>
      </c>
    </row>
    <row r="29" spans="2:9" ht="15" customHeight="1" x14ac:dyDescent="0.2">
      <c r="B29" t="s">
        <v>104</v>
      </c>
      <c r="C29" s="12">
        <v>19</v>
      </c>
      <c r="D29" s="8">
        <v>5.07</v>
      </c>
      <c r="E29" s="12">
        <v>17</v>
      </c>
      <c r="F29" s="8">
        <v>7.23</v>
      </c>
      <c r="G29" s="12">
        <v>2</v>
      </c>
      <c r="H29" s="8">
        <v>1.52</v>
      </c>
      <c r="I29" s="12">
        <v>0</v>
      </c>
    </row>
    <row r="30" spans="2:9" ht="15" customHeight="1" x14ac:dyDescent="0.2">
      <c r="B30" t="s">
        <v>89</v>
      </c>
      <c r="C30" s="12">
        <v>12</v>
      </c>
      <c r="D30" s="8">
        <v>3.2</v>
      </c>
      <c r="E30" s="12">
        <v>8</v>
      </c>
      <c r="F30" s="8">
        <v>3.4</v>
      </c>
      <c r="G30" s="12">
        <v>4</v>
      </c>
      <c r="H30" s="8">
        <v>3.03</v>
      </c>
      <c r="I30" s="12">
        <v>0</v>
      </c>
    </row>
    <row r="31" spans="2:9" ht="15" customHeight="1" x14ac:dyDescent="0.2">
      <c r="B31" t="s">
        <v>138</v>
      </c>
      <c r="C31" s="12">
        <v>12</v>
      </c>
      <c r="D31" s="8">
        <v>3.2</v>
      </c>
      <c r="E31" s="12">
        <v>3</v>
      </c>
      <c r="F31" s="8">
        <v>1.28</v>
      </c>
      <c r="G31" s="12">
        <v>9</v>
      </c>
      <c r="H31" s="8">
        <v>6.82</v>
      </c>
      <c r="I31" s="12">
        <v>0</v>
      </c>
    </row>
    <row r="32" spans="2:9" ht="15" customHeight="1" x14ac:dyDescent="0.2">
      <c r="B32" t="s">
        <v>95</v>
      </c>
      <c r="C32" s="12">
        <v>11</v>
      </c>
      <c r="D32" s="8">
        <v>2.93</v>
      </c>
      <c r="E32" s="12">
        <v>8</v>
      </c>
      <c r="F32" s="8">
        <v>3.4</v>
      </c>
      <c r="G32" s="12">
        <v>3</v>
      </c>
      <c r="H32" s="8">
        <v>2.27</v>
      </c>
      <c r="I32" s="12">
        <v>0</v>
      </c>
    </row>
    <row r="33" spans="2:9" ht="15" customHeight="1" x14ac:dyDescent="0.2">
      <c r="B33" t="s">
        <v>114</v>
      </c>
      <c r="C33" s="12">
        <v>10</v>
      </c>
      <c r="D33" s="8">
        <v>2.67</v>
      </c>
      <c r="E33" s="12">
        <v>6</v>
      </c>
      <c r="F33" s="8">
        <v>2.5499999999999998</v>
      </c>
      <c r="G33" s="12">
        <v>2</v>
      </c>
      <c r="H33" s="8">
        <v>1.52</v>
      </c>
      <c r="I33" s="12">
        <v>0</v>
      </c>
    </row>
    <row r="34" spans="2:9" ht="15" customHeight="1" x14ac:dyDescent="0.2">
      <c r="B34" t="s">
        <v>97</v>
      </c>
      <c r="C34" s="12">
        <v>9</v>
      </c>
      <c r="D34" s="8">
        <v>2.4</v>
      </c>
      <c r="E34" s="12">
        <v>6</v>
      </c>
      <c r="F34" s="8">
        <v>2.5499999999999998</v>
      </c>
      <c r="G34" s="12">
        <v>3</v>
      </c>
      <c r="H34" s="8">
        <v>2.27</v>
      </c>
      <c r="I34" s="12">
        <v>0</v>
      </c>
    </row>
    <row r="35" spans="2:9" ht="15" customHeight="1" x14ac:dyDescent="0.2">
      <c r="B35" t="s">
        <v>105</v>
      </c>
      <c r="C35" s="12">
        <v>9</v>
      </c>
      <c r="D35" s="8">
        <v>2.4</v>
      </c>
      <c r="E35" s="12">
        <v>6</v>
      </c>
      <c r="F35" s="8">
        <v>2.5499999999999998</v>
      </c>
      <c r="G35" s="12">
        <v>1</v>
      </c>
      <c r="H35" s="8">
        <v>0.76</v>
      </c>
      <c r="I35" s="12">
        <v>0</v>
      </c>
    </row>
    <row r="36" spans="2:9" ht="15" customHeight="1" x14ac:dyDescent="0.2">
      <c r="B36" t="s">
        <v>90</v>
      </c>
      <c r="C36" s="12">
        <v>7</v>
      </c>
      <c r="D36" s="8">
        <v>1.87</v>
      </c>
      <c r="E36" s="12">
        <v>1</v>
      </c>
      <c r="F36" s="8">
        <v>0.43</v>
      </c>
      <c r="G36" s="12">
        <v>6</v>
      </c>
      <c r="H36" s="8">
        <v>4.55</v>
      </c>
      <c r="I36" s="12">
        <v>0</v>
      </c>
    </row>
    <row r="37" spans="2:9" ht="15" customHeight="1" x14ac:dyDescent="0.2">
      <c r="B37" t="s">
        <v>106</v>
      </c>
      <c r="C37" s="12">
        <v>6</v>
      </c>
      <c r="D37" s="8">
        <v>1.6</v>
      </c>
      <c r="E37" s="12">
        <v>4</v>
      </c>
      <c r="F37" s="8">
        <v>1.7</v>
      </c>
      <c r="G37" s="12">
        <v>2</v>
      </c>
      <c r="H37" s="8">
        <v>1.52</v>
      </c>
      <c r="I37" s="12">
        <v>0</v>
      </c>
    </row>
    <row r="38" spans="2:9" ht="15" customHeight="1" x14ac:dyDescent="0.2">
      <c r="B38" t="s">
        <v>109</v>
      </c>
      <c r="C38" s="12">
        <v>5</v>
      </c>
      <c r="D38" s="8">
        <v>1.33</v>
      </c>
      <c r="E38" s="12">
        <v>2</v>
      </c>
      <c r="F38" s="8">
        <v>0.85</v>
      </c>
      <c r="G38" s="12">
        <v>3</v>
      </c>
      <c r="H38" s="8">
        <v>2.27</v>
      </c>
      <c r="I38" s="12">
        <v>0</v>
      </c>
    </row>
    <row r="39" spans="2:9" ht="15" customHeight="1" x14ac:dyDescent="0.2">
      <c r="B39" t="s">
        <v>129</v>
      </c>
      <c r="C39" s="12">
        <v>5</v>
      </c>
      <c r="D39" s="8">
        <v>1.33</v>
      </c>
      <c r="E39" s="12">
        <v>2</v>
      </c>
      <c r="F39" s="8">
        <v>0.85</v>
      </c>
      <c r="G39" s="12">
        <v>3</v>
      </c>
      <c r="H39" s="8">
        <v>2.27</v>
      </c>
      <c r="I39" s="12">
        <v>0</v>
      </c>
    </row>
    <row r="40" spans="2:9" ht="15" customHeight="1" x14ac:dyDescent="0.2">
      <c r="B40" t="s">
        <v>130</v>
      </c>
      <c r="C40" s="12">
        <v>5</v>
      </c>
      <c r="D40" s="8">
        <v>1.33</v>
      </c>
      <c r="E40" s="12">
        <v>2</v>
      </c>
      <c r="F40" s="8">
        <v>0.85</v>
      </c>
      <c r="G40" s="12">
        <v>2</v>
      </c>
      <c r="H40" s="8">
        <v>1.52</v>
      </c>
      <c r="I40" s="12">
        <v>0</v>
      </c>
    </row>
    <row r="41" spans="2:9" ht="15" customHeight="1" x14ac:dyDescent="0.2">
      <c r="B41" t="s">
        <v>133</v>
      </c>
      <c r="C41" s="12">
        <v>5</v>
      </c>
      <c r="D41" s="8">
        <v>1.33</v>
      </c>
      <c r="E41" s="12">
        <v>4</v>
      </c>
      <c r="F41" s="8">
        <v>1.7</v>
      </c>
      <c r="G41" s="12">
        <v>1</v>
      </c>
      <c r="H41" s="8">
        <v>0.76</v>
      </c>
      <c r="I41" s="12">
        <v>0</v>
      </c>
    </row>
    <row r="42" spans="2:9" ht="15" customHeight="1" x14ac:dyDescent="0.2">
      <c r="B42" t="s">
        <v>125</v>
      </c>
      <c r="C42" s="12">
        <v>4</v>
      </c>
      <c r="D42" s="8">
        <v>1.07</v>
      </c>
      <c r="E42" s="12">
        <v>0</v>
      </c>
      <c r="F42" s="8">
        <v>0</v>
      </c>
      <c r="G42" s="12">
        <v>4</v>
      </c>
      <c r="H42" s="8">
        <v>3.03</v>
      </c>
      <c r="I42" s="12">
        <v>0</v>
      </c>
    </row>
    <row r="43" spans="2:9" ht="15" customHeight="1" x14ac:dyDescent="0.2">
      <c r="B43" t="s">
        <v>123</v>
      </c>
      <c r="C43" s="12">
        <v>4</v>
      </c>
      <c r="D43" s="8">
        <v>1.07</v>
      </c>
      <c r="E43" s="12">
        <v>3</v>
      </c>
      <c r="F43" s="8">
        <v>1.28</v>
      </c>
      <c r="G43" s="12">
        <v>1</v>
      </c>
      <c r="H43" s="8">
        <v>0.76</v>
      </c>
      <c r="I43" s="12">
        <v>0</v>
      </c>
    </row>
    <row r="44" spans="2:9" ht="15" customHeight="1" x14ac:dyDescent="0.2">
      <c r="B44" t="s">
        <v>110</v>
      </c>
      <c r="C44" s="12">
        <v>4</v>
      </c>
      <c r="D44" s="8">
        <v>1.07</v>
      </c>
      <c r="E44" s="12">
        <v>1</v>
      </c>
      <c r="F44" s="8">
        <v>0.43</v>
      </c>
      <c r="G44" s="12">
        <v>3</v>
      </c>
      <c r="H44" s="8">
        <v>2.27</v>
      </c>
      <c r="I44" s="12">
        <v>0</v>
      </c>
    </row>
    <row r="45" spans="2:9" ht="15" customHeight="1" x14ac:dyDescent="0.2">
      <c r="B45" t="s">
        <v>142</v>
      </c>
      <c r="C45" s="12">
        <v>4</v>
      </c>
      <c r="D45" s="8">
        <v>1.07</v>
      </c>
      <c r="E45" s="12">
        <v>3</v>
      </c>
      <c r="F45" s="8">
        <v>1.28</v>
      </c>
      <c r="G45" s="12">
        <v>1</v>
      </c>
      <c r="H45" s="8">
        <v>0.76</v>
      </c>
      <c r="I45" s="12">
        <v>0</v>
      </c>
    </row>
    <row r="46" spans="2:9" ht="15" customHeight="1" x14ac:dyDescent="0.2">
      <c r="B46" t="s">
        <v>101</v>
      </c>
      <c r="C46" s="12">
        <v>4</v>
      </c>
      <c r="D46" s="8">
        <v>1.07</v>
      </c>
      <c r="E46" s="12">
        <v>3</v>
      </c>
      <c r="F46" s="8">
        <v>1.28</v>
      </c>
      <c r="G46" s="12">
        <v>1</v>
      </c>
      <c r="H46" s="8">
        <v>0.76</v>
      </c>
      <c r="I46" s="12">
        <v>0</v>
      </c>
    </row>
    <row r="47" spans="2:9" ht="15" customHeight="1" x14ac:dyDescent="0.2">
      <c r="B47" t="s">
        <v>102</v>
      </c>
      <c r="C47" s="12">
        <v>4</v>
      </c>
      <c r="D47" s="8">
        <v>1.07</v>
      </c>
      <c r="E47" s="12">
        <v>1</v>
      </c>
      <c r="F47" s="8">
        <v>0.43</v>
      </c>
      <c r="G47" s="12">
        <v>3</v>
      </c>
      <c r="H47" s="8">
        <v>2.27</v>
      </c>
      <c r="I47" s="12">
        <v>0</v>
      </c>
    </row>
    <row r="48" spans="2:9" ht="15" customHeight="1" x14ac:dyDescent="0.2">
      <c r="B48" t="s">
        <v>132</v>
      </c>
      <c r="C48" s="12">
        <v>4</v>
      </c>
      <c r="D48" s="8">
        <v>1.07</v>
      </c>
      <c r="E48" s="12">
        <v>0</v>
      </c>
      <c r="F48" s="8">
        <v>0</v>
      </c>
      <c r="G48" s="12">
        <v>4</v>
      </c>
      <c r="H48" s="8">
        <v>3.03</v>
      </c>
      <c r="I48" s="12">
        <v>0</v>
      </c>
    </row>
    <row r="51" spans="2:9" ht="33" customHeight="1" x14ac:dyDescent="0.2">
      <c r="B51" t="s">
        <v>282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2">
      <c r="B52" t="s">
        <v>242</v>
      </c>
      <c r="C52" s="12">
        <v>42</v>
      </c>
      <c r="D52" s="8">
        <v>11.2</v>
      </c>
      <c r="E52" s="12">
        <v>33</v>
      </c>
      <c r="F52" s="8">
        <v>14.04</v>
      </c>
      <c r="G52" s="12">
        <v>9</v>
      </c>
      <c r="H52" s="8">
        <v>6.82</v>
      </c>
      <c r="I52" s="12">
        <v>0</v>
      </c>
    </row>
    <row r="53" spans="2:9" ht="15" customHeight="1" x14ac:dyDescent="0.2">
      <c r="B53" t="s">
        <v>220</v>
      </c>
      <c r="C53" s="12">
        <v>14</v>
      </c>
      <c r="D53" s="8">
        <v>3.73</v>
      </c>
      <c r="E53" s="12">
        <v>1</v>
      </c>
      <c r="F53" s="8">
        <v>0.43</v>
      </c>
      <c r="G53" s="12">
        <v>13</v>
      </c>
      <c r="H53" s="8">
        <v>9.85</v>
      </c>
      <c r="I53" s="12">
        <v>0</v>
      </c>
    </row>
    <row r="54" spans="2:9" ht="15" customHeight="1" x14ac:dyDescent="0.2">
      <c r="B54" t="s">
        <v>158</v>
      </c>
      <c r="C54" s="12">
        <v>12</v>
      </c>
      <c r="D54" s="8">
        <v>3.2</v>
      </c>
      <c r="E54" s="12">
        <v>10</v>
      </c>
      <c r="F54" s="8">
        <v>4.26</v>
      </c>
      <c r="G54" s="12">
        <v>2</v>
      </c>
      <c r="H54" s="8">
        <v>1.52</v>
      </c>
      <c r="I54" s="12">
        <v>0</v>
      </c>
    </row>
    <row r="55" spans="2:9" ht="15" customHeight="1" x14ac:dyDescent="0.2">
      <c r="B55" t="s">
        <v>159</v>
      </c>
      <c r="C55" s="12">
        <v>12</v>
      </c>
      <c r="D55" s="8">
        <v>3.2</v>
      </c>
      <c r="E55" s="12">
        <v>8</v>
      </c>
      <c r="F55" s="8">
        <v>3.4</v>
      </c>
      <c r="G55" s="12">
        <v>4</v>
      </c>
      <c r="H55" s="8">
        <v>3.03</v>
      </c>
      <c r="I55" s="12">
        <v>0</v>
      </c>
    </row>
    <row r="56" spans="2:9" ht="15" customHeight="1" x14ac:dyDescent="0.2">
      <c r="B56" t="s">
        <v>172</v>
      </c>
      <c r="C56" s="12">
        <v>12</v>
      </c>
      <c r="D56" s="8">
        <v>3.2</v>
      </c>
      <c r="E56" s="12">
        <v>11</v>
      </c>
      <c r="F56" s="8">
        <v>4.68</v>
      </c>
      <c r="G56" s="12">
        <v>1</v>
      </c>
      <c r="H56" s="8">
        <v>0.76</v>
      </c>
      <c r="I56" s="12">
        <v>0</v>
      </c>
    </row>
    <row r="57" spans="2:9" ht="15" customHeight="1" x14ac:dyDescent="0.2">
      <c r="B57" t="s">
        <v>168</v>
      </c>
      <c r="C57" s="12">
        <v>11</v>
      </c>
      <c r="D57" s="8">
        <v>2.93</v>
      </c>
      <c r="E57" s="12">
        <v>10</v>
      </c>
      <c r="F57" s="8">
        <v>4.26</v>
      </c>
      <c r="G57" s="12">
        <v>1</v>
      </c>
      <c r="H57" s="8">
        <v>0.76</v>
      </c>
      <c r="I57" s="12">
        <v>0</v>
      </c>
    </row>
    <row r="58" spans="2:9" ht="15" customHeight="1" x14ac:dyDescent="0.2">
      <c r="B58" t="s">
        <v>205</v>
      </c>
      <c r="C58" s="12">
        <v>9</v>
      </c>
      <c r="D58" s="8">
        <v>2.4</v>
      </c>
      <c r="E58" s="12">
        <v>6</v>
      </c>
      <c r="F58" s="8">
        <v>2.5499999999999998</v>
      </c>
      <c r="G58" s="12">
        <v>3</v>
      </c>
      <c r="H58" s="8">
        <v>2.27</v>
      </c>
      <c r="I58" s="12">
        <v>0</v>
      </c>
    </row>
    <row r="59" spans="2:9" ht="15" customHeight="1" x14ac:dyDescent="0.2">
      <c r="B59" t="s">
        <v>216</v>
      </c>
      <c r="C59" s="12">
        <v>9</v>
      </c>
      <c r="D59" s="8">
        <v>2.4</v>
      </c>
      <c r="E59" s="12">
        <v>8</v>
      </c>
      <c r="F59" s="8">
        <v>3.4</v>
      </c>
      <c r="G59" s="12">
        <v>1</v>
      </c>
      <c r="H59" s="8">
        <v>0.76</v>
      </c>
      <c r="I59" s="12">
        <v>0</v>
      </c>
    </row>
    <row r="60" spans="2:9" ht="15" customHeight="1" x14ac:dyDescent="0.2">
      <c r="B60" t="s">
        <v>223</v>
      </c>
      <c r="C60" s="12">
        <v>8</v>
      </c>
      <c r="D60" s="8">
        <v>2.13</v>
      </c>
      <c r="E60" s="12">
        <v>7</v>
      </c>
      <c r="F60" s="8">
        <v>2.98</v>
      </c>
      <c r="G60" s="12">
        <v>1</v>
      </c>
      <c r="H60" s="8">
        <v>0.76</v>
      </c>
      <c r="I60" s="12">
        <v>0</v>
      </c>
    </row>
    <row r="61" spans="2:9" ht="15" customHeight="1" x14ac:dyDescent="0.2">
      <c r="B61" t="s">
        <v>240</v>
      </c>
      <c r="C61" s="12">
        <v>8</v>
      </c>
      <c r="D61" s="8">
        <v>2.13</v>
      </c>
      <c r="E61" s="12">
        <v>7</v>
      </c>
      <c r="F61" s="8">
        <v>2.98</v>
      </c>
      <c r="G61" s="12">
        <v>1</v>
      </c>
      <c r="H61" s="8">
        <v>0.76</v>
      </c>
      <c r="I61" s="12">
        <v>0</v>
      </c>
    </row>
    <row r="62" spans="2:9" ht="15" customHeight="1" x14ac:dyDescent="0.2">
      <c r="B62" t="s">
        <v>241</v>
      </c>
      <c r="C62" s="12">
        <v>8</v>
      </c>
      <c r="D62" s="8">
        <v>2.13</v>
      </c>
      <c r="E62" s="12">
        <v>1</v>
      </c>
      <c r="F62" s="8">
        <v>0.43</v>
      </c>
      <c r="G62" s="12">
        <v>7</v>
      </c>
      <c r="H62" s="8">
        <v>5.3</v>
      </c>
      <c r="I62" s="12">
        <v>0</v>
      </c>
    </row>
    <row r="63" spans="2:9" ht="15" customHeight="1" x14ac:dyDescent="0.2">
      <c r="B63" t="s">
        <v>248</v>
      </c>
      <c r="C63" s="12">
        <v>8</v>
      </c>
      <c r="D63" s="8">
        <v>2.13</v>
      </c>
      <c r="E63" s="12">
        <v>6</v>
      </c>
      <c r="F63" s="8">
        <v>2.5499999999999998</v>
      </c>
      <c r="G63" s="12">
        <v>2</v>
      </c>
      <c r="H63" s="8">
        <v>1.52</v>
      </c>
      <c r="I63" s="12">
        <v>0</v>
      </c>
    </row>
    <row r="64" spans="2:9" ht="15" customHeight="1" x14ac:dyDescent="0.2">
      <c r="B64" t="s">
        <v>250</v>
      </c>
      <c r="C64" s="12">
        <v>7</v>
      </c>
      <c r="D64" s="8">
        <v>1.87</v>
      </c>
      <c r="E64" s="12">
        <v>4</v>
      </c>
      <c r="F64" s="8">
        <v>1.7</v>
      </c>
      <c r="G64" s="12">
        <v>3</v>
      </c>
      <c r="H64" s="8">
        <v>2.27</v>
      </c>
      <c r="I64" s="12">
        <v>0</v>
      </c>
    </row>
    <row r="65" spans="2:9" ht="15" customHeight="1" x14ac:dyDescent="0.2">
      <c r="B65" t="s">
        <v>234</v>
      </c>
      <c r="C65" s="12">
        <v>7</v>
      </c>
      <c r="D65" s="8">
        <v>1.87</v>
      </c>
      <c r="E65" s="12">
        <v>5</v>
      </c>
      <c r="F65" s="8">
        <v>2.13</v>
      </c>
      <c r="G65" s="12">
        <v>2</v>
      </c>
      <c r="H65" s="8">
        <v>1.52</v>
      </c>
      <c r="I65" s="12">
        <v>0</v>
      </c>
    </row>
    <row r="66" spans="2:9" ht="15" customHeight="1" x14ac:dyDescent="0.2">
      <c r="B66" t="s">
        <v>251</v>
      </c>
      <c r="C66" s="12">
        <v>7</v>
      </c>
      <c r="D66" s="8">
        <v>1.87</v>
      </c>
      <c r="E66" s="12">
        <v>5</v>
      </c>
      <c r="F66" s="8">
        <v>2.13</v>
      </c>
      <c r="G66" s="12">
        <v>2</v>
      </c>
      <c r="H66" s="8">
        <v>1.52</v>
      </c>
      <c r="I66" s="12">
        <v>0</v>
      </c>
    </row>
    <row r="67" spans="2:9" ht="15" customHeight="1" x14ac:dyDescent="0.2">
      <c r="B67" t="s">
        <v>170</v>
      </c>
      <c r="C67" s="12">
        <v>7</v>
      </c>
      <c r="D67" s="8">
        <v>1.87</v>
      </c>
      <c r="E67" s="12">
        <v>5</v>
      </c>
      <c r="F67" s="8">
        <v>2.13</v>
      </c>
      <c r="G67" s="12">
        <v>2</v>
      </c>
      <c r="H67" s="8">
        <v>1.52</v>
      </c>
      <c r="I67" s="12">
        <v>0</v>
      </c>
    </row>
    <row r="68" spans="2:9" ht="15" customHeight="1" x14ac:dyDescent="0.2">
      <c r="B68" t="s">
        <v>191</v>
      </c>
      <c r="C68" s="12">
        <v>7</v>
      </c>
      <c r="D68" s="8">
        <v>1.87</v>
      </c>
      <c r="E68" s="12">
        <v>7</v>
      </c>
      <c r="F68" s="8">
        <v>2.98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206</v>
      </c>
      <c r="C69" s="12">
        <v>6</v>
      </c>
      <c r="D69" s="8">
        <v>1.6</v>
      </c>
      <c r="E69" s="12">
        <v>3</v>
      </c>
      <c r="F69" s="8">
        <v>1.28</v>
      </c>
      <c r="G69" s="12">
        <v>3</v>
      </c>
      <c r="H69" s="8">
        <v>2.27</v>
      </c>
      <c r="I69" s="12">
        <v>0</v>
      </c>
    </row>
    <row r="70" spans="2:9" ht="15" customHeight="1" x14ac:dyDescent="0.2">
      <c r="B70" t="s">
        <v>192</v>
      </c>
      <c r="C70" s="12">
        <v>6</v>
      </c>
      <c r="D70" s="8">
        <v>1.6</v>
      </c>
      <c r="E70" s="12">
        <v>1</v>
      </c>
      <c r="F70" s="8">
        <v>0.43</v>
      </c>
      <c r="G70" s="12">
        <v>5</v>
      </c>
      <c r="H70" s="8">
        <v>3.79</v>
      </c>
      <c r="I70" s="12">
        <v>0</v>
      </c>
    </row>
    <row r="71" spans="2:9" ht="15" customHeight="1" x14ac:dyDescent="0.2">
      <c r="B71" t="s">
        <v>243</v>
      </c>
      <c r="C71" s="12">
        <v>6</v>
      </c>
      <c r="D71" s="8">
        <v>1.6</v>
      </c>
      <c r="E71" s="12">
        <v>5</v>
      </c>
      <c r="F71" s="8">
        <v>2.13</v>
      </c>
      <c r="G71" s="12">
        <v>1</v>
      </c>
      <c r="H71" s="8">
        <v>0.76</v>
      </c>
      <c r="I71" s="12">
        <v>0</v>
      </c>
    </row>
    <row r="72" spans="2:9" ht="15" customHeight="1" x14ac:dyDescent="0.2">
      <c r="B72" t="s">
        <v>173</v>
      </c>
      <c r="C72" s="12">
        <v>6</v>
      </c>
      <c r="D72" s="8">
        <v>1.6</v>
      </c>
      <c r="E72" s="12">
        <v>5</v>
      </c>
      <c r="F72" s="8">
        <v>2.13</v>
      </c>
      <c r="G72" s="12">
        <v>1</v>
      </c>
      <c r="H72" s="8">
        <v>0.76</v>
      </c>
      <c r="I72" s="12">
        <v>0</v>
      </c>
    </row>
    <row r="74" spans="2:9" ht="15" customHeight="1" x14ac:dyDescent="0.2">
      <c r="B74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A66F-E346-4340-A6E3-7C0D3E588CA7}">
  <sheetPr>
    <pageSetUpPr fitToPage="1"/>
  </sheetPr>
  <dimension ref="B2:I5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340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</v>
      </c>
      <c r="D6" s="8">
        <v>14.29</v>
      </c>
      <c r="E6" s="12">
        <v>2</v>
      </c>
      <c r="F6" s="8">
        <v>13.33</v>
      </c>
      <c r="G6" s="12">
        <v>1</v>
      </c>
      <c r="H6" s="8">
        <v>25</v>
      </c>
      <c r="I6" s="12">
        <v>0</v>
      </c>
    </row>
    <row r="7" spans="2:9" ht="15" customHeight="1" x14ac:dyDescent="0.2">
      <c r="B7" t="s">
        <v>67</v>
      </c>
      <c r="C7" s="12">
        <v>1</v>
      </c>
      <c r="D7" s="8">
        <v>4.76</v>
      </c>
      <c r="E7" s="12">
        <v>0</v>
      </c>
      <c r="F7" s="8">
        <v>0</v>
      </c>
      <c r="G7" s="12">
        <v>1</v>
      </c>
      <c r="H7" s="8">
        <v>25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4.76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1</v>
      </c>
      <c r="D10" s="8">
        <v>4.76</v>
      </c>
      <c r="E10" s="12">
        <v>0</v>
      </c>
      <c r="F10" s="8">
        <v>0</v>
      </c>
      <c r="G10" s="12">
        <v>1</v>
      </c>
      <c r="H10" s="8">
        <v>25</v>
      </c>
      <c r="I10" s="12">
        <v>0</v>
      </c>
    </row>
    <row r="11" spans="2:9" ht="15" customHeight="1" x14ac:dyDescent="0.2">
      <c r="B11" t="s">
        <v>71</v>
      </c>
      <c r="C11" s="12">
        <v>4</v>
      </c>
      <c r="D11" s="8">
        <v>19.05</v>
      </c>
      <c r="E11" s="12">
        <v>4</v>
      </c>
      <c r="F11" s="8">
        <v>26.67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75</v>
      </c>
      <c r="C15" s="12">
        <v>8</v>
      </c>
      <c r="D15" s="8">
        <v>38.1</v>
      </c>
      <c r="E15" s="12">
        <v>8</v>
      </c>
      <c r="F15" s="8">
        <v>53.33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76</v>
      </c>
      <c r="C16" s="12">
        <v>1</v>
      </c>
      <c r="D16" s="8">
        <v>4.76</v>
      </c>
      <c r="E16" s="12">
        <v>1</v>
      </c>
      <c r="F16" s="8">
        <v>6.67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79</v>
      </c>
      <c r="C19" s="12">
        <v>2</v>
      </c>
      <c r="D19" s="8">
        <v>9.52</v>
      </c>
      <c r="E19" s="12">
        <v>0</v>
      </c>
      <c r="F19" s="8">
        <v>0</v>
      </c>
      <c r="G19" s="12">
        <v>1</v>
      </c>
      <c r="H19" s="8">
        <v>25</v>
      </c>
      <c r="I19" s="12">
        <v>0</v>
      </c>
    </row>
    <row r="20" spans="2:9" ht="15" customHeight="1" x14ac:dyDescent="0.2">
      <c r="B20" s="9" t="s">
        <v>280</v>
      </c>
      <c r="C20" s="12">
        <f>SUM(LTBL_13362[総数／事業所数])</f>
        <v>21</v>
      </c>
      <c r="E20" s="12">
        <f>SUBTOTAL(109,LTBL_13362[個人／事業所数])</f>
        <v>15</v>
      </c>
      <c r="G20" s="12">
        <f>SUBTOTAL(109,LTBL_13362[法人／事業所数])</f>
        <v>4</v>
      </c>
      <c r="I20" s="12">
        <f>SUBTOTAL(109,LTBL_13362[法人以外の団体／事業所数])</f>
        <v>0</v>
      </c>
    </row>
    <row r="21" spans="2:9" ht="15" customHeight="1" x14ac:dyDescent="0.2">
      <c r="E21" s="11">
        <f>LTBL_13362[[#Totals],[個人／事業所数]]/LTBL_13362[[#Totals],[総数／事業所数]]</f>
        <v>0.7142857142857143</v>
      </c>
      <c r="G21" s="11">
        <f>LTBL_13362[[#Totals],[法人／事業所数]]/LTBL_13362[[#Totals],[総数／事業所数]]</f>
        <v>0.19047619047619047</v>
      </c>
      <c r="I21" s="11">
        <f>LTBL_13362[[#Totals],[法人以外の団体／事業所数]]/LTBL_13362[[#Totals],[総数／事業所数]]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6</v>
      </c>
      <c r="D24" s="8">
        <v>28.57</v>
      </c>
      <c r="E24" s="12">
        <v>6</v>
      </c>
      <c r="F24" s="8">
        <v>40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96</v>
      </c>
      <c r="C25" s="12">
        <v>3</v>
      </c>
      <c r="D25" s="8">
        <v>14.29</v>
      </c>
      <c r="E25" s="12">
        <v>3</v>
      </c>
      <c r="F25" s="8">
        <v>20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88</v>
      </c>
      <c r="C26" s="12">
        <v>2</v>
      </c>
      <c r="D26" s="8">
        <v>9.52</v>
      </c>
      <c r="E26" s="12">
        <v>1</v>
      </c>
      <c r="F26" s="8">
        <v>6.67</v>
      </c>
      <c r="G26" s="12">
        <v>1</v>
      </c>
      <c r="H26" s="8">
        <v>25</v>
      </c>
      <c r="I26" s="12">
        <v>0</v>
      </c>
    </row>
    <row r="27" spans="2:9" ht="15" customHeight="1" x14ac:dyDescent="0.2">
      <c r="B27" t="s">
        <v>103</v>
      </c>
      <c r="C27" s="12">
        <v>2</v>
      </c>
      <c r="D27" s="8">
        <v>9.52</v>
      </c>
      <c r="E27" s="12">
        <v>2</v>
      </c>
      <c r="F27" s="8">
        <v>13.33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90</v>
      </c>
      <c r="C28" s="12">
        <v>1</v>
      </c>
      <c r="D28" s="8">
        <v>4.76</v>
      </c>
      <c r="E28" s="12">
        <v>1</v>
      </c>
      <c r="F28" s="8">
        <v>6.67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138</v>
      </c>
      <c r="C29" s="12">
        <v>1</v>
      </c>
      <c r="D29" s="8">
        <v>4.76</v>
      </c>
      <c r="E29" s="12">
        <v>0</v>
      </c>
      <c r="F29" s="8">
        <v>0</v>
      </c>
      <c r="G29" s="12">
        <v>1</v>
      </c>
      <c r="H29" s="8">
        <v>25</v>
      </c>
      <c r="I29" s="12">
        <v>0</v>
      </c>
    </row>
    <row r="30" spans="2:9" ht="15" customHeight="1" x14ac:dyDescent="0.2">
      <c r="B30" t="s">
        <v>141</v>
      </c>
      <c r="C30" s="12">
        <v>1</v>
      </c>
      <c r="D30" s="8">
        <v>4.76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149</v>
      </c>
      <c r="C31" s="12">
        <v>1</v>
      </c>
      <c r="D31" s="8">
        <v>4.76</v>
      </c>
      <c r="E31" s="12">
        <v>0</v>
      </c>
      <c r="F31" s="8">
        <v>0</v>
      </c>
      <c r="G31" s="12">
        <v>1</v>
      </c>
      <c r="H31" s="8">
        <v>25</v>
      </c>
      <c r="I31" s="12">
        <v>0</v>
      </c>
    </row>
    <row r="32" spans="2:9" ht="15" customHeight="1" x14ac:dyDescent="0.2">
      <c r="B32" t="s">
        <v>97</v>
      </c>
      <c r="C32" s="12">
        <v>1</v>
      </c>
      <c r="D32" s="8">
        <v>4.76</v>
      </c>
      <c r="E32" s="12">
        <v>1</v>
      </c>
      <c r="F32" s="8">
        <v>6.67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104</v>
      </c>
      <c r="C33" s="12">
        <v>1</v>
      </c>
      <c r="D33" s="8">
        <v>4.76</v>
      </c>
      <c r="E33" s="12">
        <v>1</v>
      </c>
      <c r="F33" s="8">
        <v>6.67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148</v>
      </c>
      <c r="C34" s="12">
        <v>1</v>
      </c>
      <c r="D34" s="8">
        <v>4.76</v>
      </c>
      <c r="E34" s="12">
        <v>0</v>
      </c>
      <c r="F34" s="8">
        <v>0</v>
      </c>
      <c r="G34" s="12">
        <v>1</v>
      </c>
      <c r="H34" s="8">
        <v>25</v>
      </c>
      <c r="I34" s="12">
        <v>0</v>
      </c>
    </row>
    <row r="35" spans="2:9" ht="15" customHeight="1" x14ac:dyDescent="0.2">
      <c r="B35" t="s">
        <v>150</v>
      </c>
      <c r="C35" s="12">
        <v>1</v>
      </c>
      <c r="D35" s="8">
        <v>4.76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8" spans="2:9" ht="33" customHeight="1" x14ac:dyDescent="0.2">
      <c r="B38" t="s">
        <v>282</v>
      </c>
      <c r="C38" s="10" t="s">
        <v>81</v>
      </c>
      <c r="D38" s="10" t="s">
        <v>82</v>
      </c>
      <c r="E38" s="10" t="s">
        <v>83</v>
      </c>
      <c r="F38" s="10" t="s">
        <v>84</v>
      </c>
      <c r="G38" s="10" t="s">
        <v>85</v>
      </c>
      <c r="H38" s="10" t="s">
        <v>86</v>
      </c>
      <c r="I38" s="10" t="s">
        <v>87</v>
      </c>
    </row>
    <row r="39" spans="2:9" ht="15" customHeight="1" x14ac:dyDescent="0.2">
      <c r="B39" t="s">
        <v>242</v>
      </c>
      <c r="C39" s="12">
        <v>6</v>
      </c>
      <c r="D39" s="8">
        <v>28.57</v>
      </c>
      <c r="E39" s="12">
        <v>6</v>
      </c>
      <c r="F39" s="8">
        <v>40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158</v>
      </c>
      <c r="C40" s="12">
        <v>3</v>
      </c>
      <c r="D40" s="8">
        <v>14.29</v>
      </c>
      <c r="E40" s="12">
        <v>3</v>
      </c>
      <c r="F40" s="8">
        <v>20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220</v>
      </c>
      <c r="C41" s="12">
        <v>2</v>
      </c>
      <c r="D41" s="8">
        <v>9.52</v>
      </c>
      <c r="E41" s="12">
        <v>1</v>
      </c>
      <c r="F41" s="8">
        <v>6.67</v>
      </c>
      <c r="G41" s="12">
        <v>1</v>
      </c>
      <c r="H41" s="8">
        <v>25</v>
      </c>
      <c r="I41" s="12">
        <v>0</v>
      </c>
    </row>
    <row r="42" spans="2:9" ht="15" customHeight="1" x14ac:dyDescent="0.2">
      <c r="B42" t="s">
        <v>216</v>
      </c>
      <c r="C42" s="12">
        <v>2</v>
      </c>
      <c r="D42" s="8">
        <v>9.52</v>
      </c>
      <c r="E42" s="12">
        <v>2</v>
      </c>
      <c r="F42" s="8">
        <v>13.33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192</v>
      </c>
      <c r="C43" s="12">
        <v>1</v>
      </c>
      <c r="D43" s="8">
        <v>4.76</v>
      </c>
      <c r="E43" s="12">
        <v>1</v>
      </c>
      <c r="F43" s="8">
        <v>6.67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252</v>
      </c>
      <c r="C44" s="12">
        <v>1</v>
      </c>
      <c r="D44" s="8">
        <v>4.76</v>
      </c>
      <c r="E44" s="12">
        <v>0</v>
      </c>
      <c r="F44" s="8">
        <v>0</v>
      </c>
      <c r="G44" s="12">
        <v>1</v>
      </c>
      <c r="H44" s="8">
        <v>25</v>
      </c>
      <c r="I44" s="12">
        <v>0</v>
      </c>
    </row>
    <row r="45" spans="2:9" ht="15" customHeight="1" x14ac:dyDescent="0.2">
      <c r="B45" t="s">
        <v>253</v>
      </c>
      <c r="C45" s="12">
        <v>1</v>
      </c>
      <c r="D45" s="8">
        <v>4.76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254</v>
      </c>
      <c r="C46" s="12">
        <v>1</v>
      </c>
      <c r="D46" s="8">
        <v>4.76</v>
      </c>
      <c r="E46" s="12">
        <v>0</v>
      </c>
      <c r="F46" s="8">
        <v>0</v>
      </c>
      <c r="G46" s="12">
        <v>1</v>
      </c>
      <c r="H46" s="8">
        <v>25</v>
      </c>
      <c r="I46" s="12">
        <v>0</v>
      </c>
    </row>
    <row r="47" spans="2:9" ht="15" customHeight="1" x14ac:dyDescent="0.2">
      <c r="B47" t="s">
        <v>221</v>
      </c>
      <c r="C47" s="12">
        <v>1</v>
      </c>
      <c r="D47" s="8">
        <v>4.76</v>
      </c>
      <c r="E47" s="12">
        <v>1</v>
      </c>
      <c r="F47" s="8">
        <v>6.67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171</v>
      </c>
      <c r="C48" s="12">
        <v>1</v>
      </c>
      <c r="D48" s="8">
        <v>4.76</v>
      </c>
      <c r="E48" s="12">
        <v>1</v>
      </c>
      <c r="F48" s="8">
        <v>6.67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255</v>
      </c>
      <c r="C49" s="12">
        <v>1</v>
      </c>
      <c r="D49" s="8">
        <v>4.76</v>
      </c>
      <c r="E49" s="12">
        <v>0</v>
      </c>
      <c r="F49" s="8">
        <v>0</v>
      </c>
      <c r="G49" s="12">
        <v>1</v>
      </c>
      <c r="H49" s="8">
        <v>25</v>
      </c>
      <c r="I49" s="12">
        <v>0</v>
      </c>
    </row>
    <row r="50" spans="2:9" ht="15" customHeight="1" x14ac:dyDescent="0.2">
      <c r="B50" t="s">
        <v>256</v>
      </c>
      <c r="C50" s="12">
        <v>1</v>
      </c>
      <c r="D50" s="8">
        <v>4.76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2" spans="2:9" ht="15" customHeight="1" x14ac:dyDescent="0.2">
      <c r="B52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C3B8-C614-4AED-A05D-1479135EAFCA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15</v>
      </c>
      <c r="D6" s="8">
        <v>9.6199999999999992</v>
      </c>
      <c r="E6" s="12">
        <v>10</v>
      </c>
      <c r="F6" s="8">
        <v>8.1300000000000008</v>
      </c>
      <c r="G6" s="12">
        <v>5</v>
      </c>
      <c r="H6" s="8">
        <v>20.83</v>
      </c>
      <c r="I6" s="12">
        <v>0</v>
      </c>
    </row>
    <row r="7" spans="2:9" ht="15" customHeight="1" x14ac:dyDescent="0.2">
      <c r="B7" t="s">
        <v>67</v>
      </c>
      <c r="C7" s="12">
        <v>9</v>
      </c>
      <c r="D7" s="8">
        <v>5.77</v>
      </c>
      <c r="E7" s="12">
        <v>4</v>
      </c>
      <c r="F7" s="8">
        <v>3.25</v>
      </c>
      <c r="G7" s="12">
        <v>5</v>
      </c>
      <c r="H7" s="8">
        <v>20.83</v>
      </c>
      <c r="I7" s="12">
        <v>0</v>
      </c>
    </row>
    <row r="8" spans="2:9" ht="15" customHeight="1" x14ac:dyDescent="0.2">
      <c r="B8" t="s">
        <v>68</v>
      </c>
      <c r="C8" s="12">
        <v>2</v>
      </c>
      <c r="D8" s="8">
        <v>1.28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7</v>
      </c>
      <c r="D10" s="8">
        <v>4.49</v>
      </c>
      <c r="E10" s="12">
        <v>2</v>
      </c>
      <c r="F10" s="8">
        <v>1.63</v>
      </c>
      <c r="G10" s="12">
        <v>4</v>
      </c>
      <c r="H10" s="8">
        <v>16.670000000000002</v>
      </c>
      <c r="I10" s="12">
        <v>0</v>
      </c>
    </row>
    <row r="11" spans="2:9" ht="15" customHeight="1" x14ac:dyDescent="0.2">
      <c r="B11" t="s">
        <v>71</v>
      </c>
      <c r="C11" s="12">
        <v>29</v>
      </c>
      <c r="D11" s="8">
        <v>18.59</v>
      </c>
      <c r="E11" s="12">
        <v>24</v>
      </c>
      <c r="F11" s="8">
        <v>19.510000000000002</v>
      </c>
      <c r="G11" s="12">
        <v>5</v>
      </c>
      <c r="H11" s="8">
        <v>20.83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2</v>
      </c>
      <c r="D13" s="8">
        <v>1.28</v>
      </c>
      <c r="E13" s="12">
        <v>2</v>
      </c>
      <c r="F13" s="8">
        <v>1.63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2</v>
      </c>
      <c r="D14" s="8">
        <v>1.28</v>
      </c>
      <c r="E14" s="12">
        <v>0</v>
      </c>
      <c r="F14" s="8">
        <v>0</v>
      </c>
      <c r="G14" s="12">
        <v>1</v>
      </c>
      <c r="H14" s="8">
        <v>4.17</v>
      </c>
      <c r="I14" s="12">
        <v>0</v>
      </c>
    </row>
    <row r="15" spans="2:9" ht="15" customHeight="1" x14ac:dyDescent="0.2">
      <c r="B15" t="s">
        <v>75</v>
      </c>
      <c r="C15" s="12">
        <v>75</v>
      </c>
      <c r="D15" s="8">
        <v>48.08</v>
      </c>
      <c r="E15" s="12">
        <v>73</v>
      </c>
      <c r="F15" s="8">
        <v>59.35</v>
      </c>
      <c r="G15" s="12">
        <v>2</v>
      </c>
      <c r="H15" s="8">
        <v>8.33</v>
      </c>
      <c r="I15" s="12">
        <v>0</v>
      </c>
    </row>
    <row r="16" spans="2:9" ht="15" customHeight="1" x14ac:dyDescent="0.2">
      <c r="B16" t="s">
        <v>76</v>
      </c>
      <c r="C16" s="12">
        <v>10</v>
      </c>
      <c r="D16" s="8">
        <v>6.41</v>
      </c>
      <c r="E16" s="12">
        <v>7</v>
      </c>
      <c r="F16" s="8">
        <v>5.69</v>
      </c>
      <c r="G16" s="12">
        <v>1</v>
      </c>
      <c r="H16" s="8">
        <v>4.17</v>
      </c>
      <c r="I16" s="12">
        <v>0</v>
      </c>
    </row>
    <row r="17" spans="2:9" ht="15" customHeight="1" x14ac:dyDescent="0.2">
      <c r="B17" t="s">
        <v>77</v>
      </c>
      <c r="C17" s="12">
        <v>2</v>
      </c>
      <c r="D17" s="8">
        <v>1.28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1</v>
      </c>
      <c r="D18" s="8">
        <v>0.64</v>
      </c>
      <c r="E18" s="12">
        <v>0</v>
      </c>
      <c r="F18" s="8">
        <v>0</v>
      </c>
      <c r="G18" s="12">
        <v>1</v>
      </c>
      <c r="H18" s="8">
        <v>4.17</v>
      </c>
      <c r="I18" s="12">
        <v>0</v>
      </c>
    </row>
    <row r="19" spans="2:9" ht="15" customHeight="1" x14ac:dyDescent="0.2">
      <c r="B19" t="s">
        <v>79</v>
      </c>
      <c r="C19" s="12">
        <v>2</v>
      </c>
      <c r="D19" s="8">
        <v>1.28</v>
      </c>
      <c r="E19" s="12">
        <v>1</v>
      </c>
      <c r="F19" s="8">
        <v>0.81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280</v>
      </c>
      <c r="C20" s="12">
        <f>SUM(LTBL_13363[総数／事業所数])</f>
        <v>156</v>
      </c>
      <c r="E20" s="12">
        <f>SUBTOTAL(109,LTBL_13363[個人／事業所数])</f>
        <v>123</v>
      </c>
      <c r="G20" s="12">
        <f>SUBTOTAL(109,LTBL_13363[法人／事業所数])</f>
        <v>24</v>
      </c>
      <c r="I20" s="12">
        <f>SUBTOTAL(109,LTBL_13363[法人以外の団体／事業所数])</f>
        <v>0</v>
      </c>
    </row>
    <row r="21" spans="2:9" ht="15" customHeight="1" x14ac:dyDescent="0.2">
      <c r="E21" s="11">
        <f>LTBL_13363[[#Totals],[個人／事業所数]]/LTBL_13363[[#Totals],[総数／事業所数]]</f>
        <v>0.78846153846153844</v>
      </c>
      <c r="G21" s="11">
        <f>LTBL_13363[[#Totals],[法人／事業所数]]/LTBL_13363[[#Totals],[総数／事業所数]]</f>
        <v>0.15384615384615385</v>
      </c>
      <c r="I21" s="11">
        <f>LTBL_13363[[#Totals],[法人以外の団体／事業所数]]/LTBL_13363[[#Totals],[総数／事業所数]]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61</v>
      </c>
      <c r="D24" s="8">
        <v>39.1</v>
      </c>
      <c r="E24" s="12">
        <v>60</v>
      </c>
      <c r="F24" s="8">
        <v>48.78</v>
      </c>
      <c r="G24" s="12">
        <v>1</v>
      </c>
      <c r="H24" s="8">
        <v>4.17</v>
      </c>
      <c r="I24" s="12">
        <v>0</v>
      </c>
    </row>
    <row r="25" spans="2:9" ht="15" customHeight="1" x14ac:dyDescent="0.2">
      <c r="B25" t="s">
        <v>103</v>
      </c>
      <c r="C25" s="12">
        <v>14</v>
      </c>
      <c r="D25" s="8">
        <v>8.9700000000000006</v>
      </c>
      <c r="E25" s="12">
        <v>13</v>
      </c>
      <c r="F25" s="8">
        <v>10.57</v>
      </c>
      <c r="G25" s="12">
        <v>1</v>
      </c>
      <c r="H25" s="8">
        <v>4.17</v>
      </c>
      <c r="I25" s="12">
        <v>0</v>
      </c>
    </row>
    <row r="26" spans="2:9" ht="15" customHeight="1" x14ac:dyDescent="0.2">
      <c r="B26" t="s">
        <v>98</v>
      </c>
      <c r="C26" s="12">
        <v>12</v>
      </c>
      <c r="D26" s="8">
        <v>7.69</v>
      </c>
      <c r="E26" s="12">
        <v>8</v>
      </c>
      <c r="F26" s="8">
        <v>6.5</v>
      </c>
      <c r="G26" s="12">
        <v>4</v>
      </c>
      <c r="H26" s="8">
        <v>16.670000000000002</v>
      </c>
      <c r="I26" s="12">
        <v>0</v>
      </c>
    </row>
    <row r="27" spans="2:9" ht="15" customHeight="1" x14ac:dyDescent="0.2">
      <c r="B27" t="s">
        <v>96</v>
      </c>
      <c r="C27" s="12">
        <v>10</v>
      </c>
      <c r="D27" s="8">
        <v>6.41</v>
      </c>
      <c r="E27" s="12">
        <v>9</v>
      </c>
      <c r="F27" s="8">
        <v>7.32</v>
      </c>
      <c r="G27" s="12">
        <v>1</v>
      </c>
      <c r="H27" s="8">
        <v>4.17</v>
      </c>
      <c r="I27" s="12">
        <v>0</v>
      </c>
    </row>
    <row r="28" spans="2:9" ht="15" customHeight="1" x14ac:dyDescent="0.2">
      <c r="B28" t="s">
        <v>90</v>
      </c>
      <c r="C28" s="12">
        <v>7</v>
      </c>
      <c r="D28" s="8">
        <v>4.49</v>
      </c>
      <c r="E28" s="12">
        <v>4</v>
      </c>
      <c r="F28" s="8">
        <v>3.25</v>
      </c>
      <c r="G28" s="12">
        <v>3</v>
      </c>
      <c r="H28" s="8">
        <v>12.5</v>
      </c>
      <c r="I28" s="12">
        <v>0</v>
      </c>
    </row>
    <row r="29" spans="2:9" ht="15" customHeight="1" x14ac:dyDescent="0.2">
      <c r="B29" t="s">
        <v>89</v>
      </c>
      <c r="C29" s="12">
        <v>5</v>
      </c>
      <c r="D29" s="8">
        <v>3.21</v>
      </c>
      <c r="E29" s="12">
        <v>5</v>
      </c>
      <c r="F29" s="8">
        <v>4.07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104</v>
      </c>
      <c r="C30" s="12">
        <v>5</v>
      </c>
      <c r="D30" s="8">
        <v>3.21</v>
      </c>
      <c r="E30" s="12">
        <v>4</v>
      </c>
      <c r="F30" s="8">
        <v>3.25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114</v>
      </c>
      <c r="C31" s="12">
        <v>5</v>
      </c>
      <c r="D31" s="8">
        <v>3.21</v>
      </c>
      <c r="E31" s="12">
        <v>3</v>
      </c>
      <c r="F31" s="8">
        <v>2.44</v>
      </c>
      <c r="G31" s="12">
        <v>1</v>
      </c>
      <c r="H31" s="8">
        <v>4.17</v>
      </c>
      <c r="I31" s="12">
        <v>0</v>
      </c>
    </row>
    <row r="32" spans="2:9" ht="15" customHeight="1" x14ac:dyDescent="0.2">
      <c r="B32" t="s">
        <v>138</v>
      </c>
      <c r="C32" s="12">
        <v>4</v>
      </c>
      <c r="D32" s="8">
        <v>2.56</v>
      </c>
      <c r="E32" s="12">
        <v>4</v>
      </c>
      <c r="F32" s="8">
        <v>3.25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149</v>
      </c>
      <c r="C33" s="12">
        <v>4</v>
      </c>
      <c r="D33" s="8">
        <v>2.56</v>
      </c>
      <c r="E33" s="12">
        <v>0</v>
      </c>
      <c r="F33" s="8">
        <v>0</v>
      </c>
      <c r="G33" s="12">
        <v>3</v>
      </c>
      <c r="H33" s="8">
        <v>12.5</v>
      </c>
      <c r="I33" s="12">
        <v>0</v>
      </c>
    </row>
    <row r="34" spans="2:9" ht="15" customHeight="1" x14ac:dyDescent="0.2">
      <c r="B34" t="s">
        <v>88</v>
      </c>
      <c r="C34" s="12">
        <v>3</v>
      </c>
      <c r="D34" s="8">
        <v>1.92</v>
      </c>
      <c r="E34" s="12">
        <v>1</v>
      </c>
      <c r="F34" s="8">
        <v>0.81</v>
      </c>
      <c r="G34" s="12">
        <v>2</v>
      </c>
      <c r="H34" s="8">
        <v>8.33</v>
      </c>
      <c r="I34" s="12">
        <v>0</v>
      </c>
    </row>
    <row r="35" spans="2:9" ht="15" customHeight="1" x14ac:dyDescent="0.2">
      <c r="B35" t="s">
        <v>146</v>
      </c>
      <c r="C35" s="12">
        <v>3</v>
      </c>
      <c r="D35" s="8">
        <v>1.92</v>
      </c>
      <c r="E35" s="12">
        <v>0</v>
      </c>
      <c r="F35" s="8">
        <v>0</v>
      </c>
      <c r="G35" s="12">
        <v>3</v>
      </c>
      <c r="H35" s="8">
        <v>12.5</v>
      </c>
      <c r="I35" s="12">
        <v>0</v>
      </c>
    </row>
    <row r="36" spans="2:9" ht="15" customHeight="1" x14ac:dyDescent="0.2">
      <c r="B36" t="s">
        <v>97</v>
      </c>
      <c r="C36" s="12">
        <v>3</v>
      </c>
      <c r="D36" s="8">
        <v>1.92</v>
      </c>
      <c r="E36" s="12">
        <v>3</v>
      </c>
      <c r="F36" s="8">
        <v>2.44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141</v>
      </c>
      <c r="C37" s="12">
        <v>2</v>
      </c>
      <c r="D37" s="8">
        <v>1.28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152</v>
      </c>
      <c r="C38" s="12">
        <v>2</v>
      </c>
      <c r="D38" s="8">
        <v>1.28</v>
      </c>
      <c r="E38" s="12">
        <v>1</v>
      </c>
      <c r="F38" s="8">
        <v>0.81</v>
      </c>
      <c r="G38" s="12">
        <v>1</v>
      </c>
      <c r="H38" s="8">
        <v>4.17</v>
      </c>
      <c r="I38" s="12">
        <v>0</v>
      </c>
    </row>
    <row r="39" spans="2:9" ht="15" customHeight="1" x14ac:dyDescent="0.2">
      <c r="B39" t="s">
        <v>95</v>
      </c>
      <c r="C39" s="12">
        <v>2</v>
      </c>
      <c r="D39" s="8">
        <v>1.28</v>
      </c>
      <c r="E39" s="12">
        <v>2</v>
      </c>
      <c r="F39" s="8">
        <v>1.63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142</v>
      </c>
      <c r="C40" s="12">
        <v>2</v>
      </c>
      <c r="D40" s="8">
        <v>1.28</v>
      </c>
      <c r="E40" s="12">
        <v>2</v>
      </c>
      <c r="F40" s="8">
        <v>1.63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105</v>
      </c>
      <c r="C41" s="12">
        <v>2</v>
      </c>
      <c r="D41" s="8">
        <v>1.28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151</v>
      </c>
      <c r="C42" s="12">
        <v>1</v>
      </c>
      <c r="D42" s="8">
        <v>0.64</v>
      </c>
      <c r="E42" s="12">
        <v>0</v>
      </c>
      <c r="F42" s="8">
        <v>0</v>
      </c>
      <c r="G42" s="12">
        <v>1</v>
      </c>
      <c r="H42" s="8">
        <v>4.17</v>
      </c>
      <c r="I42" s="12">
        <v>0</v>
      </c>
    </row>
    <row r="43" spans="2:9" ht="15" customHeight="1" x14ac:dyDescent="0.2">
      <c r="B43" t="s">
        <v>120</v>
      </c>
      <c r="C43" s="12">
        <v>1</v>
      </c>
      <c r="D43" s="8">
        <v>0.64</v>
      </c>
      <c r="E43" s="12">
        <v>0</v>
      </c>
      <c r="F43" s="8">
        <v>0</v>
      </c>
      <c r="G43" s="12">
        <v>1</v>
      </c>
      <c r="H43" s="8">
        <v>4.17</v>
      </c>
      <c r="I43" s="12">
        <v>0</v>
      </c>
    </row>
    <row r="44" spans="2:9" ht="15" customHeight="1" x14ac:dyDescent="0.2">
      <c r="B44" t="s">
        <v>128</v>
      </c>
      <c r="C44" s="12">
        <v>1</v>
      </c>
      <c r="D44" s="8">
        <v>0.64</v>
      </c>
      <c r="E44" s="12">
        <v>1</v>
      </c>
      <c r="F44" s="8">
        <v>0.81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109</v>
      </c>
      <c r="C45" s="12">
        <v>1</v>
      </c>
      <c r="D45" s="8">
        <v>0.64</v>
      </c>
      <c r="E45" s="12">
        <v>1</v>
      </c>
      <c r="F45" s="8">
        <v>0.81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94</v>
      </c>
      <c r="C46" s="12">
        <v>1</v>
      </c>
      <c r="D46" s="8">
        <v>0.64</v>
      </c>
      <c r="E46" s="12">
        <v>1</v>
      </c>
      <c r="F46" s="8">
        <v>0.81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143</v>
      </c>
      <c r="C47" s="12">
        <v>1</v>
      </c>
      <c r="D47" s="8">
        <v>0.64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101</v>
      </c>
      <c r="C48" s="12">
        <v>1</v>
      </c>
      <c r="D48" s="8">
        <v>0.64</v>
      </c>
      <c r="E48" s="12">
        <v>0</v>
      </c>
      <c r="F48" s="8">
        <v>0</v>
      </c>
      <c r="G48" s="12">
        <v>1</v>
      </c>
      <c r="H48" s="8">
        <v>4.17</v>
      </c>
      <c r="I48" s="12">
        <v>0</v>
      </c>
    </row>
    <row r="49" spans="2:9" ht="15" customHeight="1" x14ac:dyDescent="0.2">
      <c r="B49" t="s">
        <v>132</v>
      </c>
      <c r="C49" s="12">
        <v>1</v>
      </c>
      <c r="D49" s="8">
        <v>0.64</v>
      </c>
      <c r="E49" s="12">
        <v>0</v>
      </c>
      <c r="F49" s="8">
        <v>0</v>
      </c>
      <c r="G49" s="12">
        <v>1</v>
      </c>
      <c r="H49" s="8">
        <v>4.17</v>
      </c>
      <c r="I49" s="12">
        <v>0</v>
      </c>
    </row>
    <row r="50" spans="2:9" ht="15" customHeight="1" x14ac:dyDescent="0.2">
      <c r="B50" t="s">
        <v>133</v>
      </c>
      <c r="C50" s="12">
        <v>1</v>
      </c>
      <c r="D50" s="8">
        <v>0.64</v>
      </c>
      <c r="E50" s="12">
        <v>1</v>
      </c>
      <c r="F50" s="8">
        <v>0.81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150</v>
      </c>
      <c r="C51" s="12">
        <v>1</v>
      </c>
      <c r="D51" s="8">
        <v>0.64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282</v>
      </c>
      <c r="C54" s="10" t="s">
        <v>81</v>
      </c>
      <c r="D54" s="10" t="s">
        <v>82</v>
      </c>
      <c r="E54" s="10" t="s">
        <v>83</v>
      </c>
      <c r="F54" s="10" t="s">
        <v>84</v>
      </c>
      <c r="G54" s="10" t="s">
        <v>85</v>
      </c>
      <c r="H54" s="10" t="s">
        <v>86</v>
      </c>
      <c r="I54" s="10" t="s">
        <v>87</v>
      </c>
    </row>
    <row r="55" spans="2:9" ht="15" customHeight="1" x14ac:dyDescent="0.2">
      <c r="B55" t="s">
        <v>242</v>
      </c>
      <c r="C55" s="12">
        <v>54</v>
      </c>
      <c r="D55" s="8">
        <v>34.619999999999997</v>
      </c>
      <c r="E55" s="12">
        <v>53</v>
      </c>
      <c r="F55" s="8">
        <v>43.09</v>
      </c>
      <c r="G55" s="12">
        <v>1</v>
      </c>
      <c r="H55" s="8">
        <v>4.17</v>
      </c>
      <c r="I55" s="12">
        <v>0</v>
      </c>
    </row>
    <row r="56" spans="2:9" ht="15" customHeight="1" x14ac:dyDescent="0.2">
      <c r="B56" t="s">
        <v>243</v>
      </c>
      <c r="C56" s="12">
        <v>7</v>
      </c>
      <c r="D56" s="8">
        <v>4.49</v>
      </c>
      <c r="E56" s="12">
        <v>7</v>
      </c>
      <c r="F56" s="8">
        <v>5.69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227</v>
      </c>
      <c r="C57" s="12">
        <v>4</v>
      </c>
      <c r="D57" s="8">
        <v>2.56</v>
      </c>
      <c r="E57" s="12">
        <v>4</v>
      </c>
      <c r="F57" s="8">
        <v>3.25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257</v>
      </c>
      <c r="C58" s="12">
        <v>4</v>
      </c>
      <c r="D58" s="8">
        <v>2.56</v>
      </c>
      <c r="E58" s="12">
        <v>4</v>
      </c>
      <c r="F58" s="8">
        <v>3.25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159</v>
      </c>
      <c r="C59" s="12">
        <v>4</v>
      </c>
      <c r="D59" s="8">
        <v>2.56</v>
      </c>
      <c r="E59" s="12">
        <v>3</v>
      </c>
      <c r="F59" s="8">
        <v>2.44</v>
      </c>
      <c r="G59" s="12">
        <v>1</v>
      </c>
      <c r="H59" s="8">
        <v>4.17</v>
      </c>
      <c r="I59" s="12">
        <v>0</v>
      </c>
    </row>
    <row r="60" spans="2:9" ht="15" customHeight="1" x14ac:dyDescent="0.2">
      <c r="B60" t="s">
        <v>170</v>
      </c>
      <c r="C60" s="12">
        <v>4</v>
      </c>
      <c r="D60" s="8">
        <v>2.56</v>
      </c>
      <c r="E60" s="12">
        <v>4</v>
      </c>
      <c r="F60" s="8">
        <v>3.25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192</v>
      </c>
      <c r="C61" s="12">
        <v>3</v>
      </c>
      <c r="D61" s="8">
        <v>1.92</v>
      </c>
      <c r="E61" s="12">
        <v>2</v>
      </c>
      <c r="F61" s="8">
        <v>1.63</v>
      </c>
      <c r="G61" s="12">
        <v>1</v>
      </c>
      <c r="H61" s="8">
        <v>4.17</v>
      </c>
      <c r="I61" s="12">
        <v>0</v>
      </c>
    </row>
    <row r="62" spans="2:9" ht="15" customHeight="1" x14ac:dyDescent="0.2">
      <c r="B62" t="s">
        <v>201</v>
      </c>
      <c r="C62" s="12">
        <v>3</v>
      </c>
      <c r="D62" s="8">
        <v>1.92</v>
      </c>
      <c r="E62" s="12">
        <v>2</v>
      </c>
      <c r="F62" s="8">
        <v>1.63</v>
      </c>
      <c r="G62" s="12">
        <v>1</v>
      </c>
      <c r="H62" s="8">
        <v>4.17</v>
      </c>
      <c r="I62" s="12">
        <v>0</v>
      </c>
    </row>
    <row r="63" spans="2:9" ht="15" customHeight="1" x14ac:dyDescent="0.2">
      <c r="B63" t="s">
        <v>250</v>
      </c>
      <c r="C63" s="12">
        <v>3</v>
      </c>
      <c r="D63" s="8">
        <v>1.92</v>
      </c>
      <c r="E63" s="12">
        <v>2</v>
      </c>
      <c r="F63" s="8">
        <v>1.63</v>
      </c>
      <c r="G63" s="12">
        <v>1</v>
      </c>
      <c r="H63" s="8">
        <v>4.17</v>
      </c>
      <c r="I63" s="12">
        <v>0</v>
      </c>
    </row>
    <row r="64" spans="2:9" ht="15" customHeight="1" x14ac:dyDescent="0.2">
      <c r="B64" t="s">
        <v>205</v>
      </c>
      <c r="C64" s="12">
        <v>3</v>
      </c>
      <c r="D64" s="8">
        <v>1.92</v>
      </c>
      <c r="E64" s="12">
        <v>3</v>
      </c>
      <c r="F64" s="8">
        <v>2.44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221</v>
      </c>
      <c r="C65" s="12">
        <v>3</v>
      </c>
      <c r="D65" s="8">
        <v>1.92</v>
      </c>
      <c r="E65" s="12">
        <v>3</v>
      </c>
      <c r="F65" s="8">
        <v>2.44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241</v>
      </c>
      <c r="C66" s="12">
        <v>3</v>
      </c>
      <c r="D66" s="8">
        <v>1.92</v>
      </c>
      <c r="E66" s="12">
        <v>2</v>
      </c>
      <c r="F66" s="8">
        <v>1.63</v>
      </c>
      <c r="G66" s="12">
        <v>1</v>
      </c>
      <c r="H66" s="8">
        <v>4.17</v>
      </c>
      <c r="I66" s="12">
        <v>0</v>
      </c>
    </row>
    <row r="67" spans="2:9" ht="15" customHeight="1" x14ac:dyDescent="0.2">
      <c r="B67" t="s">
        <v>168</v>
      </c>
      <c r="C67" s="12">
        <v>3</v>
      </c>
      <c r="D67" s="8">
        <v>1.92</v>
      </c>
      <c r="E67" s="12">
        <v>3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169</v>
      </c>
      <c r="C68" s="12">
        <v>3</v>
      </c>
      <c r="D68" s="8">
        <v>1.92</v>
      </c>
      <c r="E68" s="12">
        <v>3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248</v>
      </c>
      <c r="C69" s="12">
        <v>3</v>
      </c>
      <c r="D69" s="8">
        <v>1.92</v>
      </c>
      <c r="E69" s="12">
        <v>3</v>
      </c>
      <c r="F69" s="8">
        <v>2.44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258</v>
      </c>
      <c r="C70" s="12">
        <v>2</v>
      </c>
      <c r="D70" s="8">
        <v>1.28</v>
      </c>
      <c r="E70" s="12">
        <v>0</v>
      </c>
      <c r="F70" s="8">
        <v>0</v>
      </c>
      <c r="G70" s="12">
        <v>2</v>
      </c>
      <c r="H70" s="8">
        <v>8.33</v>
      </c>
      <c r="I70" s="12">
        <v>0</v>
      </c>
    </row>
    <row r="71" spans="2:9" ht="15" customHeight="1" x14ac:dyDescent="0.2">
      <c r="B71" t="s">
        <v>259</v>
      </c>
      <c r="C71" s="12">
        <v>2</v>
      </c>
      <c r="D71" s="8">
        <v>1.28</v>
      </c>
      <c r="E71" s="12">
        <v>0</v>
      </c>
      <c r="F71" s="8">
        <v>0</v>
      </c>
      <c r="G71" s="12">
        <v>2</v>
      </c>
      <c r="H71" s="8">
        <v>8.33</v>
      </c>
      <c r="I71" s="12">
        <v>0</v>
      </c>
    </row>
    <row r="72" spans="2:9" ht="15" customHeight="1" x14ac:dyDescent="0.2">
      <c r="B72" t="s">
        <v>199</v>
      </c>
      <c r="C72" s="12">
        <v>2</v>
      </c>
      <c r="D72" s="8">
        <v>1.28</v>
      </c>
      <c r="E72" s="12">
        <v>2</v>
      </c>
      <c r="F72" s="8">
        <v>1.63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240</v>
      </c>
      <c r="C73" s="12">
        <v>2</v>
      </c>
      <c r="D73" s="8">
        <v>1.28</v>
      </c>
      <c r="E73" s="12">
        <v>2</v>
      </c>
      <c r="F73" s="8">
        <v>1.63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158</v>
      </c>
      <c r="C74" s="12">
        <v>2</v>
      </c>
      <c r="D74" s="8">
        <v>1.28</v>
      </c>
      <c r="E74" s="12">
        <v>2</v>
      </c>
      <c r="F74" s="8">
        <v>1.63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260</v>
      </c>
      <c r="C75" s="12">
        <v>2</v>
      </c>
      <c r="D75" s="8">
        <v>1.28</v>
      </c>
      <c r="E75" s="12">
        <v>1</v>
      </c>
      <c r="F75" s="8">
        <v>0.81</v>
      </c>
      <c r="G75" s="12">
        <v>1</v>
      </c>
      <c r="H75" s="8">
        <v>4.17</v>
      </c>
      <c r="I75" s="12">
        <v>0</v>
      </c>
    </row>
    <row r="76" spans="2:9" ht="15" customHeight="1" x14ac:dyDescent="0.2">
      <c r="B76" t="s">
        <v>217</v>
      </c>
      <c r="C76" s="12">
        <v>2</v>
      </c>
      <c r="D76" s="8">
        <v>1.28</v>
      </c>
      <c r="E76" s="12">
        <v>2</v>
      </c>
      <c r="F76" s="8">
        <v>1.63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171</v>
      </c>
      <c r="C77" s="12">
        <v>2</v>
      </c>
      <c r="D77" s="8">
        <v>1.28</v>
      </c>
      <c r="E77" s="12">
        <v>2</v>
      </c>
      <c r="F77" s="8">
        <v>1.63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172</v>
      </c>
      <c r="C78" s="12">
        <v>2</v>
      </c>
      <c r="D78" s="8">
        <v>1.28</v>
      </c>
      <c r="E78" s="12">
        <v>2</v>
      </c>
      <c r="F78" s="8">
        <v>1.63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249</v>
      </c>
      <c r="C79" s="12">
        <v>2</v>
      </c>
      <c r="D79" s="8">
        <v>1.28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CB14-7C2B-4B51-BF99-3B236844389C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15</v>
      </c>
      <c r="D6" s="8">
        <v>11.72</v>
      </c>
      <c r="E6" s="12">
        <v>11</v>
      </c>
      <c r="F6" s="8">
        <v>10.28</v>
      </c>
      <c r="G6" s="12">
        <v>4</v>
      </c>
      <c r="H6" s="8">
        <v>26.67</v>
      </c>
      <c r="I6" s="12">
        <v>0</v>
      </c>
    </row>
    <row r="7" spans="2:9" ht="15" customHeight="1" x14ac:dyDescent="0.2">
      <c r="B7" t="s">
        <v>67</v>
      </c>
      <c r="C7" s="12">
        <v>5</v>
      </c>
      <c r="D7" s="8">
        <v>3.91</v>
      </c>
      <c r="E7" s="12">
        <v>3</v>
      </c>
      <c r="F7" s="8">
        <v>2.8</v>
      </c>
      <c r="G7" s="12">
        <v>2</v>
      </c>
      <c r="H7" s="8">
        <v>13.33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0.78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</v>
      </c>
      <c r="D9" s="8">
        <v>0.78</v>
      </c>
      <c r="E9" s="12">
        <v>0</v>
      </c>
      <c r="F9" s="8">
        <v>0</v>
      </c>
      <c r="G9" s="12">
        <v>0</v>
      </c>
      <c r="H9" s="8">
        <v>0</v>
      </c>
      <c r="I9" s="12">
        <v>1</v>
      </c>
    </row>
    <row r="10" spans="2:9" ht="15" customHeight="1" x14ac:dyDescent="0.2">
      <c r="B10" t="s">
        <v>70</v>
      </c>
      <c r="C10" s="12">
        <v>2</v>
      </c>
      <c r="D10" s="8">
        <v>1.56</v>
      </c>
      <c r="E10" s="12">
        <v>1</v>
      </c>
      <c r="F10" s="8">
        <v>0.93</v>
      </c>
      <c r="G10" s="12">
        <v>1</v>
      </c>
      <c r="H10" s="8">
        <v>6.67</v>
      </c>
      <c r="I10" s="12">
        <v>0</v>
      </c>
    </row>
    <row r="11" spans="2:9" ht="15" customHeight="1" x14ac:dyDescent="0.2">
      <c r="B11" t="s">
        <v>71</v>
      </c>
      <c r="C11" s="12">
        <v>21</v>
      </c>
      <c r="D11" s="8">
        <v>16.41</v>
      </c>
      <c r="E11" s="12">
        <v>18</v>
      </c>
      <c r="F11" s="8">
        <v>16.82</v>
      </c>
      <c r="G11" s="12">
        <v>3</v>
      </c>
      <c r="H11" s="8">
        <v>20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1</v>
      </c>
      <c r="D13" s="8">
        <v>0.78</v>
      </c>
      <c r="E13" s="12">
        <v>1</v>
      </c>
      <c r="F13" s="8">
        <v>0.93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3</v>
      </c>
      <c r="D14" s="8">
        <v>2.34</v>
      </c>
      <c r="E14" s="12">
        <v>3</v>
      </c>
      <c r="F14" s="8">
        <v>2.8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75</v>
      </c>
      <c r="C15" s="12">
        <v>59</v>
      </c>
      <c r="D15" s="8">
        <v>46.09</v>
      </c>
      <c r="E15" s="12">
        <v>55</v>
      </c>
      <c r="F15" s="8">
        <v>51.4</v>
      </c>
      <c r="G15" s="12">
        <v>4</v>
      </c>
      <c r="H15" s="8">
        <v>26.67</v>
      </c>
      <c r="I15" s="12">
        <v>0</v>
      </c>
    </row>
    <row r="16" spans="2:9" ht="15" customHeight="1" x14ac:dyDescent="0.2">
      <c r="B16" t="s">
        <v>76</v>
      </c>
      <c r="C16" s="12">
        <v>12</v>
      </c>
      <c r="D16" s="8">
        <v>9.3800000000000008</v>
      </c>
      <c r="E16" s="12">
        <v>12</v>
      </c>
      <c r="F16" s="8">
        <v>11.21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77</v>
      </c>
      <c r="C17" s="12">
        <v>4</v>
      </c>
      <c r="D17" s="8">
        <v>3.13</v>
      </c>
      <c r="E17" s="12">
        <v>2</v>
      </c>
      <c r="F17" s="8">
        <v>1.87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2</v>
      </c>
      <c r="D18" s="8">
        <v>1.56</v>
      </c>
      <c r="E18" s="12">
        <v>1</v>
      </c>
      <c r="F18" s="8">
        <v>0.93</v>
      </c>
      <c r="G18" s="12">
        <v>1</v>
      </c>
      <c r="H18" s="8">
        <v>6.67</v>
      </c>
      <c r="I18" s="12">
        <v>0</v>
      </c>
    </row>
    <row r="19" spans="2:9" ht="15" customHeight="1" x14ac:dyDescent="0.2">
      <c r="B19" t="s">
        <v>79</v>
      </c>
      <c r="C19" s="12">
        <v>2</v>
      </c>
      <c r="D19" s="8">
        <v>1.56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280</v>
      </c>
      <c r="C20" s="12">
        <f>SUM(LTBL_13364[総数／事業所数])</f>
        <v>128</v>
      </c>
      <c r="E20" s="12">
        <f>SUBTOTAL(109,LTBL_13364[個人／事業所数])</f>
        <v>107</v>
      </c>
      <c r="G20" s="12">
        <f>SUBTOTAL(109,LTBL_13364[法人／事業所数])</f>
        <v>15</v>
      </c>
      <c r="I20" s="12">
        <f>SUBTOTAL(109,LTBL_13364[法人以外の団体／事業所数])</f>
        <v>1</v>
      </c>
    </row>
    <row r="21" spans="2:9" ht="15" customHeight="1" x14ac:dyDescent="0.2">
      <c r="E21" s="11">
        <f>LTBL_13364[[#Totals],[個人／事業所数]]/LTBL_13364[[#Totals],[総数／事業所数]]</f>
        <v>0.8359375</v>
      </c>
      <c r="G21" s="11">
        <f>LTBL_13364[[#Totals],[法人／事業所数]]/LTBL_13364[[#Totals],[総数／事業所数]]</f>
        <v>0.1171875</v>
      </c>
      <c r="I21" s="11">
        <f>LTBL_13364[[#Totals],[法人以外の団体／事業所数]]/LTBL_13364[[#Totals],[総数／事業所数]]</f>
        <v>7.8125E-3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42</v>
      </c>
      <c r="D24" s="8">
        <v>32.81</v>
      </c>
      <c r="E24" s="12">
        <v>39</v>
      </c>
      <c r="F24" s="8">
        <v>36.450000000000003</v>
      </c>
      <c r="G24" s="12">
        <v>3</v>
      </c>
      <c r="H24" s="8">
        <v>20</v>
      </c>
      <c r="I24" s="12">
        <v>0</v>
      </c>
    </row>
    <row r="25" spans="2:9" ht="15" customHeight="1" x14ac:dyDescent="0.2">
      <c r="B25" t="s">
        <v>103</v>
      </c>
      <c r="C25" s="12">
        <v>16</v>
      </c>
      <c r="D25" s="8">
        <v>12.5</v>
      </c>
      <c r="E25" s="12">
        <v>16</v>
      </c>
      <c r="F25" s="8">
        <v>14.95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96</v>
      </c>
      <c r="C26" s="12">
        <v>9</v>
      </c>
      <c r="D26" s="8">
        <v>7.03</v>
      </c>
      <c r="E26" s="12">
        <v>9</v>
      </c>
      <c r="F26" s="8">
        <v>8.41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98</v>
      </c>
      <c r="C27" s="12">
        <v>9</v>
      </c>
      <c r="D27" s="8">
        <v>7.03</v>
      </c>
      <c r="E27" s="12">
        <v>7</v>
      </c>
      <c r="F27" s="8">
        <v>6.54</v>
      </c>
      <c r="G27" s="12">
        <v>2</v>
      </c>
      <c r="H27" s="8">
        <v>13.33</v>
      </c>
      <c r="I27" s="12">
        <v>0</v>
      </c>
    </row>
    <row r="28" spans="2:9" ht="15" customHeight="1" x14ac:dyDescent="0.2">
      <c r="B28" t="s">
        <v>104</v>
      </c>
      <c r="C28" s="12">
        <v>7</v>
      </c>
      <c r="D28" s="8">
        <v>5.47</v>
      </c>
      <c r="E28" s="12">
        <v>7</v>
      </c>
      <c r="F28" s="8">
        <v>6.54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88</v>
      </c>
      <c r="C29" s="12">
        <v>6</v>
      </c>
      <c r="D29" s="8">
        <v>4.6900000000000004</v>
      </c>
      <c r="E29" s="12">
        <v>5</v>
      </c>
      <c r="F29" s="8">
        <v>4.67</v>
      </c>
      <c r="G29" s="12">
        <v>1</v>
      </c>
      <c r="H29" s="8">
        <v>6.67</v>
      </c>
      <c r="I29" s="12">
        <v>0</v>
      </c>
    </row>
    <row r="30" spans="2:9" ht="15" customHeight="1" x14ac:dyDescent="0.2">
      <c r="B30" t="s">
        <v>90</v>
      </c>
      <c r="C30" s="12">
        <v>5</v>
      </c>
      <c r="D30" s="8">
        <v>3.91</v>
      </c>
      <c r="E30" s="12">
        <v>2</v>
      </c>
      <c r="F30" s="8">
        <v>1.87</v>
      </c>
      <c r="G30" s="12">
        <v>3</v>
      </c>
      <c r="H30" s="8">
        <v>20</v>
      </c>
      <c r="I30" s="12">
        <v>0</v>
      </c>
    </row>
    <row r="31" spans="2:9" ht="15" customHeight="1" x14ac:dyDescent="0.2">
      <c r="B31" t="s">
        <v>114</v>
      </c>
      <c r="C31" s="12">
        <v>5</v>
      </c>
      <c r="D31" s="8">
        <v>3.91</v>
      </c>
      <c r="E31" s="12">
        <v>5</v>
      </c>
      <c r="F31" s="8">
        <v>4.67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89</v>
      </c>
      <c r="C32" s="12">
        <v>4</v>
      </c>
      <c r="D32" s="8">
        <v>3.13</v>
      </c>
      <c r="E32" s="12">
        <v>4</v>
      </c>
      <c r="F32" s="8">
        <v>3.74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105</v>
      </c>
      <c r="C33" s="12">
        <v>4</v>
      </c>
      <c r="D33" s="8">
        <v>3.13</v>
      </c>
      <c r="E33" s="12">
        <v>2</v>
      </c>
      <c r="F33" s="8">
        <v>1.87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135</v>
      </c>
      <c r="C34" s="12">
        <v>2</v>
      </c>
      <c r="D34" s="8">
        <v>1.56</v>
      </c>
      <c r="E34" s="12">
        <v>2</v>
      </c>
      <c r="F34" s="8">
        <v>1.87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102</v>
      </c>
      <c r="C35" s="12">
        <v>2</v>
      </c>
      <c r="D35" s="8">
        <v>1.56</v>
      </c>
      <c r="E35" s="12">
        <v>2</v>
      </c>
      <c r="F35" s="8">
        <v>1.87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148</v>
      </c>
      <c r="C36" s="12">
        <v>2</v>
      </c>
      <c r="D36" s="8">
        <v>1.56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138</v>
      </c>
      <c r="C37" s="12">
        <v>1</v>
      </c>
      <c r="D37" s="8">
        <v>0.78</v>
      </c>
      <c r="E37" s="12">
        <v>1</v>
      </c>
      <c r="F37" s="8">
        <v>0.93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151</v>
      </c>
      <c r="C38" s="12">
        <v>1</v>
      </c>
      <c r="D38" s="8">
        <v>0.78</v>
      </c>
      <c r="E38" s="12">
        <v>0</v>
      </c>
      <c r="F38" s="8">
        <v>0</v>
      </c>
      <c r="G38" s="12">
        <v>1</v>
      </c>
      <c r="H38" s="8">
        <v>6.67</v>
      </c>
      <c r="I38" s="12">
        <v>0</v>
      </c>
    </row>
    <row r="39" spans="2:9" ht="15" customHeight="1" x14ac:dyDescent="0.2">
      <c r="B39" t="s">
        <v>146</v>
      </c>
      <c r="C39" s="12">
        <v>1</v>
      </c>
      <c r="D39" s="8">
        <v>0.78</v>
      </c>
      <c r="E39" s="12">
        <v>0</v>
      </c>
      <c r="F39" s="8">
        <v>0</v>
      </c>
      <c r="G39" s="12">
        <v>1</v>
      </c>
      <c r="H39" s="8">
        <v>6.67</v>
      </c>
      <c r="I39" s="12">
        <v>0</v>
      </c>
    </row>
    <row r="40" spans="2:9" ht="15" customHeight="1" x14ac:dyDescent="0.2">
      <c r="B40" t="s">
        <v>141</v>
      </c>
      <c r="C40" s="12">
        <v>1</v>
      </c>
      <c r="D40" s="8">
        <v>0.78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153</v>
      </c>
      <c r="C41" s="12">
        <v>1</v>
      </c>
      <c r="D41" s="8">
        <v>0.78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2">
      <c r="B42" t="s">
        <v>123</v>
      </c>
      <c r="C42" s="12">
        <v>1</v>
      </c>
      <c r="D42" s="8">
        <v>0.78</v>
      </c>
      <c r="E42" s="12">
        <v>1</v>
      </c>
      <c r="F42" s="8">
        <v>0.93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128</v>
      </c>
      <c r="C43" s="12">
        <v>1</v>
      </c>
      <c r="D43" s="8">
        <v>0.78</v>
      </c>
      <c r="E43" s="12">
        <v>0</v>
      </c>
      <c r="F43" s="8">
        <v>0</v>
      </c>
      <c r="G43" s="12">
        <v>1</v>
      </c>
      <c r="H43" s="8">
        <v>6.67</v>
      </c>
      <c r="I43" s="12">
        <v>0</v>
      </c>
    </row>
    <row r="44" spans="2:9" ht="15" customHeight="1" x14ac:dyDescent="0.2">
      <c r="B44" t="s">
        <v>154</v>
      </c>
      <c r="C44" s="12">
        <v>1</v>
      </c>
      <c r="D44" s="8">
        <v>0.78</v>
      </c>
      <c r="E44" s="12">
        <v>0</v>
      </c>
      <c r="F44" s="8">
        <v>0</v>
      </c>
      <c r="G44" s="12">
        <v>1</v>
      </c>
      <c r="H44" s="8">
        <v>6.67</v>
      </c>
      <c r="I44" s="12">
        <v>0</v>
      </c>
    </row>
    <row r="45" spans="2:9" ht="15" customHeight="1" x14ac:dyDescent="0.2">
      <c r="B45" t="s">
        <v>109</v>
      </c>
      <c r="C45" s="12">
        <v>1</v>
      </c>
      <c r="D45" s="8">
        <v>0.78</v>
      </c>
      <c r="E45" s="12">
        <v>1</v>
      </c>
      <c r="F45" s="8">
        <v>0.93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97</v>
      </c>
      <c r="C46" s="12">
        <v>1</v>
      </c>
      <c r="D46" s="8">
        <v>0.78</v>
      </c>
      <c r="E46" s="12">
        <v>1</v>
      </c>
      <c r="F46" s="8">
        <v>0.93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142</v>
      </c>
      <c r="C47" s="12">
        <v>1</v>
      </c>
      <c r="D47" s="8">
        <v>0.78</v>
      </c>
      <c r="E47" s="12">
        <v>1</v>
      </c>
      <c r="F47" s="8">
        <v>0.93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101</v>
      </c>
      <c r="C48" s="12">
        <v>1</v>
      </c>
      <c r="D48" s="8">
        <v>0.78</v>
      </c>
      <c r="E48" s="12">
        <v>1</v>
      </c>
      <c r="F48" s="8">
        <v>0.93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130</v>
      </c>
      <c r="C49" s="12">
        <v>1</v>
      </c>
      <c r="D49" s="8">
        <v>0.78</v>
      </c>
      <c r="E49" s="12">
        <v>0</v>
      </c>
      <c r="F49" s="8">
        <v>0</v>
      </c>
      <c r="G49" s="12">
        <v>1</v>
      </c>
      <c r="H49" s="8">
        <v>6.67</v>
      </c>
      <c r="I49" s="12">
        <v>0</v>
      </c>
    </row>
    <row r="50" spans="2:9" ht="15" customHeight="1" x14ac:dyDescent="0.2">
      <c r="B50" t="s">
        <v>106</v>
      </c>
      <c r="C50" s="12">
        <v>1</v>
      </c>
      <c r="D50" s="8">
        <v>0.78</v>
      </c>
      <c r="E50" s="12">
        <v>1</v>
      </c>
      <c r="F50" s="8">
        <v>0.93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132</v>
      </c>
      <c r="C51" s="12">
        <v>1</v>
      </c>
      <c r="D51" s="8">
        <v>0.78</v>
      </c>
      <c r="E51" s="12">
        <v>0</v>
      </c>
      <c r="F51" s="8">
        <v>0</v>
      </c>
      <c r="G51" s="12">
        <v>1</v>
      </c>
      <c r="H51" s="8">
        <v>6.67</v>
      </c>
      <c r="I51" s="12">
        <v>0</v>
      </c>
    </row>
    <row r="54" spans="2:9" ht="33" customHeight="1" x14ac:dyDescent="0.2">
      <c r="B54" t="s">
        <v>282</v>
      </c>
      <c r="C54" s="10" t="s">
        <v>81</v>
      </c>
      <c r="D54" s="10" t="s">
        <v>82</v>
      </c>
      <c r="E54" s="10" t="s">
        <v>83</v>
      </c>
      <c r="F54" s="10" t="s">
        <v>84</v>
      </c>
      <c r="G54" s="10" t="s">
        <v>85</v>
      </c>
      <c r="H54" s="10" t="s">
        <v>86</v>
      </c>
      <c r="I54" s="10" t="s">
        <v>87</v>
      </c>
    </row>
    <row r="55" spans="2:9" ht="15" customHeight="1" x14ac:dyDescent="0.2">
      <c r="B55" t="s">
        <v>242</v>
      </c>
      <c r="C55" s="12">
        <v>35</v>
      </c>
      <c r="D55" s="8">
        <v>27.34</v>
      </c>
      <c r="E55" s="12">
        <v>33</v>
      </c>
      <c r="F55" s="8">
        <v>30.84</v>
      </c>
      <c r="G55" s="12">
        <v>2</v>
      </c>
      <c r="H55" s="8">
        <v>13.33</v>
      </c>
      <c r="I55" s="12">
        <v>0</v>
      </c>
    </row>
    <row r="56" spans="2:9" ht="15" customHeight="1" x14ac:dyDescent="0.2">
      <c r="B56" t="s">
        <v>243</v>
      </c>
      <c r="C56" s="12">
        <v>7</v>
      </c>
      <c r="D56" s="8">
        <v>5.47</v>
      </c>
      <c r="E56" s="12">
        <v>6</v>
      </c>
      <c r="F56" s="8">
        <v>5.61</v>
      </c>
      <c r="G56" s="12">
        <v>1</v>
      </c>
      <c r="H56" s="8">
        <v>6.67</v>
      </c>
      <c r="I56" s="12">
        <v>0</v>
      </c>
    </row>
    <row r="57" spans="2:9" ht="15" customHeight="1" x14ac:dyDescent="0.2">
      <c r="B57" t="s">
        <v>170</v>
      </c>
      <c r="C57" s="12">
        <v>5</v>
      </c>
      <c r="D57" s="8">
        <v>3.91</v>
      </c>
      <c r="E57" s="12">
        <v>5</v>
      </c>
      <c r="F57" s="8">
        <v>4.67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248</v>
      </c>
      <c r="C58" s="12">
        <v>5</v>
      </c>
      <c r="D58" s="8">
        <v>3.91</v>
      </c>
      <c r="E58" s="12">
        <v>5</v>
      </c>
      <c r="F58" s="8">
        <v>4.67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223</v>
      </c>
      <c r="C59" s="12">
        <v>4</v>
      </c>
      <c r="D59" s="8">
        <v>3.13</v>
      </c>
      <c r="E59" s="12">
        <v>4</v>
      </c>
      <c r="F59" s="8">
        <v>3.74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159</v>
      </c>
      <c r="C60" s="12">
        <v>4</v>
      </c>
      <c r="D60" s="8">
        <v>3.13</v>
      </c>
      <c r="E60" s="12">
        <v>3</v>
      </c>
      <c r="F60" s="8">
        <v>2.8</v>
      </c>
      <c r="G60" s="12">
        <v>1</v>
      </c>
      <c r="H60" s="8">
        <v>6.67</v>
      </c>
      <c r="I60" s="12">
        <v>0</v>
      </c>
    </row>
    <row r="61" spans="2:9" ht="15" customHeight="1" x14ac:dyDescent="0.2">
      <c r="B61" t="s">
        <v>172</v>
      </c>
      <c r="C61" s="12">
        <v>4</v>
      </c>
      <c r="D61" s="8">
        <v>3.13</v>
      </c>
      <c r="E61" s="12">
        <v>4</v>
      </c>
      <c r="F61" s="8">
        <v>3.74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192</v>
      </c>
      <c r="C62" s="12">
        <v>3</v>
      </c>
      <c r="D62" s="8">
        <v>2.34</v>
      </c>
      <c r="E62" s="12">
        <v>1</v>
      </c>
      <c r="F62" s="8">
        <v>0.93</v>
      </c>
      <c r="G62" s="12">
        <v>2</v>
      </c>
      <c r="H62" s="8">
        <v>13.33</v>
      </c>
      <c r="I62" s="12">
        <v>0</v>
      </c>
    </row>
    <row r="63" spans="2:9" ht="15" customHeight="1" x14ac:dyDescent="0.2">
      <c r="B63" t="s">
        <v>263</v>
      </c>
      <c r="C63" s="12">
        <v>3</v>
      </c>
      <c r="D63" s="8">
        <v>2.34</v>
      </c>
      <c r="E63" s="12">
        <v>2</v>
      </c>
      <c r="F63" s="8">
        <v>1.87</v>
      </c>
      <c r="G63" s="12">
        <v>1</v>
      </c>
      <c r="H63" s="8">
        <v>6.67</v>
      </c>
      <c r="I63" s="12">
        <v>0</v>
      </c>
    </row>
    <row r="64" spans="2:9" ht="15" customHeight="1" x14ac:dyDescent="0.2">
      <c r="B64" t="s">
        <v>168</v>
      </c>
      <c r="C64" s="12">
        <v>3</v>
      </c>
      <c r="D64" s="8">
        <v>2.34</v>
      </c>
      <c r="E64" s="12">
        <v>3</v>
      </c>
      <c r="F64" s="8">
        <v>2.8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261</v>
      </c>
      <c r="C65" s="12">
        <v>2</v>
      </c>
      <c r="D65" s="8">
        <v>1.56</v>
      </c>
      <c r="E65" s="12">
        <v>2</v>
      </c>
      <c r="F65" s="8">
        <v>1.87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201</v>
      </c>
      <c r="C66" s="12">
        <v>2</v>
      </c>
      <c r="D66" s="8">
        <v>1.56</v>
      </c>
      <c r="E66" s="12">
        <v>1</v>
      </c>
      <c r="F66" s="8">
        <v>0.93</v>
      </c>
      <c r="G66" s="12">
        <v>1</v>
      </c>
      <c r="H66" s="8">
        <v>6.67</v>
      </c>
      <c r="I66" s="12">
        <v>0</v>
      </c>
    </row>
    <row r="67" spans="2:9" ht="15" customHeight="1" x14ac:dyDescent="0.2">
      <c r="B67" t="s">
        <v>262</v>
      </c>
      <c r="C67" s="12">
        <v>2</v>
      </c>
      <c r="D67" s="8">
        <v>1.56</v>
      </c>
      <c r="E67" s="12">
        <v>2</v>
      </c>
      <c r="F67" s="8">
        <v>1.87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250</v>
      </c>
      <c r="C68" s="12">
        <v>2</v>
      </c>
      <c r="D68" s="8">
        <v>1.56</v>
      </c>
      <c r="E68" s="12">
        <v>2</v>
      </c>
      <c r="F68" s="8">
        <v>1.87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205</v>
      </c>
      <c r="C69" s="12">
        <v>2</v>
      </c>
      <c r="D69" s="8">
        <v>1.56</v>
      </c>
      <c r="E69" s="12">
        <v>2</v>
      </c>
      <c r="F69" s="8">
        <v>1.87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158</v>
      </c>
      <c r="C70" s="12">
        <v>2</v>
      </c>
      <c r="D70" s="8">
        <v>1.56</v>
      </c>
      <c r="E70" s="12">
        <v>2</v>
      </c>
      <c r="F70" s="8">
        <v>1.87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216</v>
      </c>
      <c r="C71" s="12">
        <v>2</v>
      </c>
      <c r="D71" s="8">
        <v>1.56</v>
      </c>
      <c r="E71" s="12">
        <v>2</v>
      </c>
      <c r="F71" s="8">
        <v>1.87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217</v>
      </c>
      <c r="C72" s="12">
        <v>2</v>
      </c>
      <c r="D72" s="8">
        <v>1.56</v>
      </c>
      <c r="E72" s="12">
        <v>2</v>
      </c>
      <c r="F72" s="8">
        <v>1.87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169</v>
      </c>
      <c r="C73" s="12">
        <v>2</v>
      </c>
      <c r="D73" s="8">
        <v>1.56</v>
      </c>
      <c r="E73" s="12">
        <v>2</v>
      </c>
      <c r="F73" s="8">
        <v>1.87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171</v>
      </c>
      <c r="C74" s="12">
        <v>2</v>
      </c>
      <c r="D74" s="8">
        <v>1.56</v>
      </c>
      <c r="E74" s="12">
        <v>2</v>
      </c>
      <c r="F74" s="8">
        <v>1.87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249</v>
      </c>
      <c r="C75" s="12">
        <v>2</v>
      </c>
      <c r="D75" s="8">
        <v>1.56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173</v>
      </c>
      <c r="C76" s="12">
        <v>2</v>
      </c>
      <c r="D76" s="8">
        <v>1.56</v>
      </c>
      <c r="E76" s="12">
        <v>2</v>
      </c>
      <c r="F76" s="8">
        <v>1.87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255</v>
      </c>
      <c r="C77" s="12">
        <v>2</v>
      </c>
      <c r="D77" s="8">
        <v>1.56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634C-7568-4998-A4EA-CDBD513F0E5F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25</v>
      </c>
      <c r="D6" s="8">
        <v>14.2</v>
      </c>
      <c r="E6" s="12">
        <v>13</v>
      </c>
      <c r="F6" s="8">
        <v>9.56</v>
      </c>
      <c r="G6" s="12">
        <v>12</v>
      </c>
      <c r="H6" s="8">
        <v>30.77</v>
      </c>
      <c r="I6" s="12">
        <v>0</v>
      </c>
    </row>
    <row r="7" spans="2:9" ht="15" customHeight="1" x14ac:dyDescent="0.2">
      <c r="B7" t="s">
        <v>67</v>
      </c>
      <c r="C7" s="12">
        <v>10</v>
      </c>
      <c r="D7" s="8">
        <v>5.68</v>
      </c>
      <c r="E7" s="12">
        <v>9</v>
      </c>
      <c r="F7" s="8">
        <v>6.62</v>
      </c>
      <c r="G7" s="12">
        <v>1</v>
      </c>
      <c r="H7" s="8">
        <v>2.56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0.56999999999999995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5</v>
      </c>
      <c r="D10" s="8">
        <v>2.84</v>
      </c>
      <c r="E10" s="12">
        <v>2</v>
      </c>
      <c r="F10" s="8">
        <v>1.47</v>
      </c>
      <c r="G10" s="12">
        <v>3</v>
      </c>
      <c r="H10" s="8">
        <v>7.69</v>
      </c>
      <c r="I10" s="12">
        <v>0</v>
      </c>
    </row>
    <row r="11" spans="2:9" ht="15" customHeight="1" x14ac:dyDescent="0.2">
      <c r="B11" t="s">
        <v>71</v>
      </c>
      <c r="C11" s="12">
        <v>34</v>
      </c>
      <c r="D11" s="8">
        <v>19.32</v>
      </c>
      <c r="E11" s="12">
        <v>22</v>
      </c>
      <c r="F11" s="8">
        <v>16.18</v>
      </c>
      <c r="G11" s="12">
        <v>12</v>
      </c>
      <c r="H11" s="8">
        <v>30.77</v>
      </c>
      <c r="I11" s="12">
        <v>0</v>
      </c>
    </row>
    <row r="12" spans="2:9" ht="15" customHeight="1" x14ac:dyDescent="0.2">
      <c r="B12" t="s">
        <v>72</v>
      </c>
      <c r="C12" s="12">
        <v>1</v>
      </c>
      <c r="D12" s="8">
        <v>0.56999999999999995</v>
      </c>
      <c r="E12" s="12">
        <v>1</v>
      </c>
      <c r="F12" s="8">
        <v>0.74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4</v>
      </c>
      <c r="D13" s="8">
        <v>2.27</v>
      </c>
      <c r="E13" s="12">
        <v>4</v>
      </c>
      <c r="F13" s="8">
        <v>2.94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4</v>
      </c>
      <c r="D14" s="8">
        <v>2.27</v>
      </c>
      <c r="E14" s="12">
        <v>2</v>
      </c>
      <c r="F14" s="8">
        <v>1.47</v>
      </c>
      <c r="G14" s="12">
        <v>2</v>
      </c>
      <c r="H14" s="8">
        <v>5.13</v>
      </c>
      <c r="I14" s="12">
        <v>0</v>
      </c>
    </row>
    <row r="15" spans="2:9" ht="15" customHeight="1" x14ac:dyDescent="0.2">
      <c r="B15" t="s">
        <v>75</v>
      </c>
      <c r="C15" s="12">
        <v>56</v>
      </c>
      <c r="D15" s="8">
        <v>31.82</v>
      </c>
      <c r="E15" s="12">
        <v>53</v>
      </c>
      <c r="F15" s="8">
        <v>38.97</v>
      </c>
      <c r="G15" s="12">
        <v>3</v>
      </c>
      <c r="H15" s="8">
        <v>7.69</v>
      </c>
      <c r="I15" s="12">
        <v>0</v>
      </c>
    </row>
    <row r="16" spans="2:9" ht="15" customHeight="1" x14ac:dyDescent="0.2">
      <c r="B16" t="s">
        <v>76</v>
      </c>
      <c r="C16" s="12">
        <v>30</v>
      </c>
      <c r="D16" s="8">
        <v>17.05</v>
      </c>
      <c r="E16" s="12">
        <v>27</v>
      </c>
      <c r="F16" s="8">
        <v>19.850000000000001</v>
      </c>
      <c r="G16" s="12">
        <v>3</v>
      </c>
      <c r="H16" s="8">
        <v>7.69</v>
      </c>
      <c r="I16" s="12">
        <v>0</v>
      </c>
    </row>
    <row r="17" spans="2:9" ht="15" customHeight="1" x14ac:dyDescent="0.2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2</v>
      </c>
      <c r="D18" s="8">
        <v>1.1399999999999999</v>
      </c>
      <c r="E18" s="12">
        <v>1</v>
      </c>
      <c r="F18" s="8">
        <v>0.74</v>
      </c>
      <c r="G18" s="12">
        <v>1</v>
      </c>
      <c r="H18" s="8">
        <v>2.56</v>
      </c>
      <c r="I18" s="12">
        <v>0</v>
      </c>
    </row>
    <row r="19" spans="2:9" ht="15" customHeight="1" x14ac:dyDescent="0.2">
      <c r="B19" t="s">
        <v>79</v>
      </c>
      <c r="C19" s="12">
        <v>4</v>
      </c>
      <c r="D19" s="8">
        <v>2.27</v>
      </c>
      <c r="E19" s="12">
        <v>2</v>
      </c>
      <c r="F19" s="8">
        <v>1.47</v>
      </c>
      <c r="G19" s="12">
        <v>2</v>
      </c>
      <c r="H19" s="8">
        <v>5.13</v>
      </c>
      <c r="I19" s="12">
        <v>0</v>
      </c>
    </row>
    <row r="20" spans="2:9" ht="15" customHeight="1" x14ac:dyDescent="0.2">
      <c r="B20" s="9" t="s">
        <v>280</v>
      </c>
      <c r="C20" s="12">
        <f>SUM(LTBL_13381[総数／事業所数])</f>
        <v>176</v>
      </c>
      <c r="E20" s="12">
        <f>SUBTOTAL(109,LTBL_13381[個人／事業所数])</f>
        <v>136</v>
      </c>
      <c r="G20" s="12">
        <f>SUBTOTAL(109,LTBL_13381[法人／事業所数])</f>
        <v>39</v>
      </c>
      <c r="I20" s="12">
        <f>SUBTOTAL(109,LTBL_13381[法人以外の団体／事業所数])</f>
        <v>0</v>
      </c>
    </row>
    <row r="21" spans="2:9" ht="15" customHeight="1" x14ac:dyDescent="0.2">
      <c r="E21" s="11">
        <f>LTBL_13381[[#Totals],[個人／事業所数]]/LTBL_13381[[#Totals],[総数／事業所数]]</f>
        <v>0.77272727272727271</v>
      </c>
      <c r="G21" s="11">
        <f>LTBL_13381[[#Totals],[法人／事業所数]]/LTBL_13381[[#Totals],[総数／事業所数]]</f>
        <v>0.22159090909090909</v>
      </c>
      <c r="I21" s="11">
        <f>LTBL_13381[[#Totals],[法人以外の団体／事業所数]]/LTBL_13381[[#Totals],[総数／事業所数]]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29</v>
      </c>
      <c r="D24" s="8">
        <v>16.48</v>
      </c>
      <c r="E24" s="12">
        <v>27</v>
      </c>
      <c r="F24" s="8">
        <v>19.850000000000001</v>
      </c>
      <c r="G24" s="12">
        <v>2</v>
      </c>
      <c r="H24" s="8">
        <v>5.13</v>
      </c>
      <c r="I24" s="12">
        <v>0</v>
      </c>
    </row>
    <row r="25" spans="2:9" ht="15" customHeight="1" x14ac:dyDescent="0.2">
      <c r="B25" t="s">
        <v>103</v>
      </c>
      <c r="C25" s="12">
        <v>27</v>
      </c>
      <c r="D25" s="8">
        <v>15.34</v>
      </c>
      <c r="E25" s="12">
        <v>26</v>
      </c>
      <c r="F25" s="8">
        <v>19.12</v>
      </c>
      <c r="G25" s="12">
        <v>1</v>
      </c>
      <c r="H25" s="8">
        <v>2.56</v>
      </c>
      <c r="I25" s="12">
        <v>0</v>
      </c>
    </row>
    <row r="26" spans="2:9" ht="15" customHeight="1" x14ac:dyDescent="0.2">
      <c r="B26" t="s">
        <v>114</v>
      </c>
      <c r="C26" s="12">
        <v>17</v>
      </c>
      <c r="D26" s="8">
        <v>9.66</v>
      </c>
      <c r="E26" s="12">
        <v>14</v>
      </c>
      <c r="F26" s="8">
        <v>10.29</v>
      </c>
      <c r="G26" s="12">
        <v>3</v>
      </c>
      <c r="H26" s="8">
        <v>7.69</v>
      </c>
      <c r="I26" s="12">
        <v>0</v>
      </c>
    </row>
    <row r="27" spans="2:9" ht="15" customHeight="1" x14ac:dyDescent="0.2">
      <c r="B27" t="s">
        <v>104</v>
      </c>
      <c r="C27" s="12">
        <v>12</v>
      </c>
      <c r="D27" s="8">
        <v>6.82</v>
      </c>
      <c r="E27" s="12">
        <v>12</v>
      </c>
      <c r="F27" s="8">
        <v>8.82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96</v>
      </c>
      <c r="C28" s="12">
        <v>11</v>
      </c>
      <c r="D28" s="8">
        <v>6.25</v>
      </c>
      <c r="E28" s="12">
        <v>8</v>
      </c>
      <c r="F28" s="8">
        <v>5.88</v>
      </c>
      <c r="G28" s="12">
        <v>3</v>
      </c>
      <c r="H28" s="8">
        <v>7.69</v>
      </c>
      <c r="I28" s="12">
        <v>0</v>
      </c>
    </row>
    <row r="29" spans="2:9" ht="15" customHeight="1" x14ac:dyDescent="0.2">
      <c r="B29" t="s">
        <v>98</v>
      </c>
      <c r="C29" s="12">
        <v>11</v>
      </c>
      <c r="D29" s="8">
        <v>6.25</v>
      </c>
      <c r="E29" s="12">
        <v>4</v>
      </c>
      <c r="F29" s="8">
        <v>2.94</v>
      </c>
      <c r="G29" s="12">
        <v>7</v>
      </c>
      <c r="H29" s="8">
        <v>17.95</v>
      </c>
      <c r="I29" s="12">
        <v>0</v>
      </c>
    </row>
    <row r="30" spans="2:9" ht="15" customHeight="1" x14ac:dyDescent="0.2">
      <c r="B30" t="s">
        <v>88</v>
      </c>
      <c r="C30" s="12">
        <v>9</v>
      </c>
      <c r="D30" s="8">
        <v>5.1100000000000003</v>
      </c>
      <c r="E30" s="12">
        <v>3</v>
      </c>
      <c r="F30" s="8">
        <v>2.21</v>
      </c>
      <c r="G30" s="12">
        <v>6</v>
      </c>
      <c r="H30" s="8">
        <v>15.38</v>
      </c>
      <c r="I30" s="12">
        <v>0</v>
      </c>
    </row>
    <row r="31" spans="2:9" ht="15" customHeight="1" x14ac:dyDescent="0.2">
      <c r="B31" t="s">
        <v>89</v>
      </c>
      <c r="C31" s="12">
        <v>9</v>
      </c>
      <c r="D31" s="8">
        <v>5.1100000000000003</v>
      </c>
      <c r="E31" s="12">
        <v>6</v>
      </c>
      <c r="F31" s="8">
        <v>4.41</v>
      </c>
      <c r="G31" s="12">
        <v>3</v>
      </c>
      <c r="H31" s="8">
        <v>7.69</v>
      </c>
      <c r="I31" s="12">
        <v>0</v>
      </c>
    </row>
    <row r="32" spans="2:9" ht="15" customHeight="1" x14ac:dyDescent="0.2">
      <c r="B32" t="s">
        <v>90</v>
      </c>
      <c r="C32" s="12">
        <v>7</v>
      </c>
      <c r="D32" s="8">
        <v>3.98</v>
      </c>
      <c r="E32" s="12">
        <v>4</v>
      </c>
      <c r="F32" s="8">
        <v>2.94</v>
      </c>
      <c r="G32" s="12">
        <v>3</v>
      </c>
      <c r="H32" s="8">
        <v>7.69</v>
      </c>
      <c r="I32" s="12">
        <v>0</v>
      </c>
    </row>
    <row r="33" spans="2:9" ht="15" customHeight="1" x14ac:dyDescent="0.2">
      <c r="B33" t="s">
        <v>138</v>
      </c>
      <c r="C33" s="12">
        <v>5</v>
      </c>
      <c r="D33" s="8">
        <v>2.84</v>
      </c>
      <c r="E33" s="12">
        <v>5</v>
      </c>
      <c r="F33" s="8">
        <v>3.68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97</v>
      </c>
      <c r="C34" s="12">
        <v>5</v>
      </c>
      <c r="D34" s="8">
        <v>2.84</v>
      </c>
      <c r="E34" s="12">
        <v>3</v>
      </c>
      <c r="F34" s="8">
        <v>2.21</v>
      </c>
      <c r="G34" s="12">
        <v>2</v>
      </c>
      <c r="H34" s="8">
        <v>5.13</v>
      </c>
      <c r="I34" s="12">
        <v>0</v>
      </c>
    </row>
    <row r="35" spans="2:9" ht="15" customHeight="1" x14ac:dyDescent="0.2">
      <c r="B35" t="s">
        <v>123</v>
      </c>
      <c r="C35" s="12">
        <v>4</v>
      </c>
      <c r="D35" s="8">
        <v>2.27</v>
      </c>
      <c r="E35" s="12">
        <v>2</v>
      </c>
      <c r="F35" s="8">
        <v>1.47</v>
      </c>
      <c r="G35" s="12">
        <v>2</v>
      </c>
      <c r="H35" s="8">
        <v>5.13</v>
      </c>
      <c r="I35" s="12">
        <v>0</v>
      </c>
    </row>
    <row r="36" spans="2:9" ht="15" customHeight="1" x14ac:dyDescent="0.2">
      <c r="B36" t="s">
        <v>100</v>
      </c>
      <c r="C36" s="12">
        <v>4</v>
      </c>
      <c r="D36" s="8">
        <v>2.27</v>
      </c>
      <c r="E36" s="12">
        <v>4</v>
      </c>
      <c r="F36" s="8">
        <v>2.94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117</v>
      </c>
      <c r="C37" s="12">
        <v>3</v>
      </c>
      <c r="D37" s="8">
        <v>1.7</v>
      </c>
      <c r="E37" s="12">
        <v>3</v>
      </c>
      <c r="F37" s="8">
        <v>2.21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107</v>
      </c>
      <c r="C38" s="12">
        <v>3</v>
      </c>
      <c r="D38" s="8">
        <v>1.7</v>
      </c>
      <c r="E38" s="12">
        <v>1</v>
      </c>
      <c r="F38" s="8">
        <v>0.74</v>
      </c>
      <c r="G38" s="12">
        <v>2</v>
      </c>
      <c r="H38" s="8">
        <v>5.13</v>
      </c>
      <c r="I38" s="12">
        <v>0</v>
      </c>
    </row>
    <row r="39" spans="2:9" ht="15" customHeight="1" x14ac:dyDescent="0.2">
      <c r="B39" t="s">
        <v>109</v>
      </c>
      <c r="C39" s="12">
        <v>2</v>
      </c>
      <c r="D39" s="8">
        <v>1.1399999999999999</v>
      </c>
      <c r="E39" s="12">
        <v>2</v>
      </c>
      <c r="F39" s="8">
        <v>1.47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110</v>
      </c>
      <c r="C40" s="12">
        <v>2</v>
      </c>
      <c r="D40" s="8">
        <v>1.1399999999999999</v>
      </c>
      <c r="E40" s="12">
        <v>2</v>
      </c>
      <c r="F40" s="8">
        <v>1.47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95</v>
      </c>
      <c r="C41" s="12">
        <v>2</v>
      </c>
      <c r="D41" s="8">
        <v>1.1399999999999999</v>
      </c>
      <c r="E41" s="12">
        <v>2</v>
      </c>
      <c r="F41" s="8">
        <v>1.47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101</v>
      </c>
      <c r="C42" s="12">
        <v>2</v>
      </c>
      <c r="D42" s="8">
        <v>1.1399999999999999</v>
      </c>
      <c r="E42" s="12">
        <v>1</v>
      </c>
      <c r="F42" s="8">
        <v>0.74</v>
      </c>
      <c r="G42" s="12">
        <v>1</v>
      </c>
      <c r="H42" s="8">
        <v>2.56</v>
      </c>
      <c r="I42" s="12">
        <v>0</v>
      </c>
    </row>
    <row r="43" spans="2:9" ht="15" customHeight="1" x14ac:dyDescent="0.2">
      <c r="B43" t="s">
        <v>102</v>
      </c>
      <c r="C43" s="12">
        <v>2</v>
      </c>
      <c r="D43" s="8">
        <v>1.1399999999999999</v>
      </c>
      <c r="E43" s="12">
        <v>1</v>
      </c>
      <c r="F43" s="8">
        <v>0.74</v>
      </c>
      <c r="G43" s="12">
        <v>1</v>
      </c>
      <c r="H43" s="8">
        <v>2.56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242</v>
      </c>
      <c r="C47" s="12">
        <v>23</v>
      </c>
      <c r="D47" s="8">
        <v>13.07</v>
      </c>
      <c r="E47" s="12">
        <v>23</v>
      </c>
      <c r="F47" s="8">
        <v>16.91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248</v>
      </c>
      <c r="C48" s="12">
        <v>16</v>
      </c>
      <c r="D48" s="8">
        <v>9.09</v>
      </c>
      <c r="E48" s="12">
        <v>14</v>
      </c>
      <c r="F48" s="8">
        <v>10.29</v>
      </c>
      <c r="G48" s="12">
        <v>2</v>
      </c>
      <c r="H48" s="8">
        <v>5.13</v>
      </c>
      <c r="I48" s="12">
        <v>0</v>
      </c>
    </row>
    <row r="49" spans="2:9" ht="15" customHeight="1" x14ac:dyDescent="0.2">
      <c r="B49" t="s">
        <v>168</v>
      </c>
      <c r="C49" s="12">
        <v>9</v>
      </c>
      <c r="D49" s="8">
        <v>5.1100000000000003</v>
      </c>
      <c r="E49" s="12">
        <v>9</v>
      </c>
      <c r="F49" s="8">
        <v>6.62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158</v>
      </c>
      <c r="C50" s="12">
        <v>8</v>
      </c>
      <c r="D50" s="8">
        <v>4.55</v>
      </c>
      <c r="E50" s="12">
        <v>6</v>
      </c>
      <c r="F50" s="8">
        <v>4.41</v>
      </c>
      <c r="G50" s="12">
        <v>2</v>
      </c>
      <c r="H50" s="8">
        <v>5.13</v>
      </c>
      <c r="I50" s="12">
        <v>0</v>
      </c>
    </row>
    <row r="51" spans="2:9" ht="15" customHeight="1" x14ac:dyDescent="0.2">
      <c r="B51" t="s">
        <v>169</v>
      </c>
      <c r="C51" s="12">
        <v>7</v>
      </c>
      <c r="D51" s="8">
        <v>3.98</v>
      </c>
      <c r="E51" s="12">
        <v>7</v>
      </c>
      <c r="F51" s="8">
        <v>5.15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7</v>
      </c>
      <c r="D52" s="8">
        <v>3.98</v>
      </c>
      <c r="E52" s="12">
        <v>7</v>
      </c>
      <c r="F52" s="8">
        <v>5.15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243</v>
      </c>
      <c r="C53" s="12">
        <v>6</v>
      </c>
      <c r="D53" s="8">
        <v>3.41</v>
      </c>
      <c r="E53" s="12">
        <v>4</v>
      </c>
      <c r="F53" s="8">
        <v>2.94</v>
      </c>
      <c r="G53" s="12">
        <v>2</v>
      </c>
      <c r="H53" s="8">
        <v>5.13</v>
      </c>
      <c r="I53" s="12">
        <v>0</v>
      </c>
    </row>
    <row r="54" spans="2:9" ht="15" customHeight="1" x14ac:dyDescent="0.2">
      <c r="B54" t="s">
        <v>170</v>
      </c>
      <c r="C54" s="12">
        <v>6</v>
      </c>
      <c r="D54" s="8">
        <v>3.41</v>
      </c>
      <c r="E54" s="12">
        <v>6</v>
      </c>
      <c r="F54" s="8">
        <v>4.41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192</v>
      </c>
      <c r="C55" s="12">
        <v>5</v>
      </c>
      <c r="D55" s="8">
        <v>2.84</v>
      </c>
      <c r="E55" s="12">
        <v>2</v>
      </c>
      <c r="F55" s="8">
        <v>1.47</v>
      </c>
      <c r="G55" s="12">
        <v>3</v>
      </c>
      <c r="H55" s="8">
        <v>7.69</v>
      </c>
      <c r="I55" s="12">
        <v>0</v>
      </c>
    </row>
    <row r="56" spans="2:9" ht="15" customHeight="1" x14ac:dyDescent="0.2">
      <c r="B56" t="s">
        <v>207</v>
      </c>
      <c r="C56" s="12">
        <v>4</v>
      </c>
      <c r="D56" s="8">
        <v>2.27</v>
      </c>
      <c r="E56" s="12">
        <v>2</v>
      </c>
      <c r="F56" s="8">
        <v>1.47</v>
      </c>
      <c r="G56" s="12">
        <v>2</v>
      </c>
      <c r="H56" s="8">
        <v>5.13</v>
      </c>
      <c r="I56" s="12">
        <v>0</v>
      </c>
    </row>
    <row r="57" spans="2:9" ht="15" customHeight="1" x14ac:dyDescent="0.2">
      <c r="B57" t="s">
        <v>159</v>
      </c>
      <c r="C57" s="12">
        <v>4</v>
      </c>
      <c r="D57" s="8">
        <v>2.27</v>
      </c>
      <c r="E57" s="12">
        <v>2</v>
      </c>
      <c r="F57" s="8">
        <v>1.47</v>
      </c>
      <c r="G57" s="12">
        <v>2</v>
      </c>
      <c r="H57" s="8">
        <v>5.13</v>
      </c>
      <c r="I57" s="12">
        <v>0</v>
      </c>
    </row>
    <row r="58" spans="2:9" ht="15" customHeight="1" x14ac:dyDescent="0.2">
      <c r="B58" t="s">
        <v>162</v>
      </c>
      <c r="C58" s="12">
        <v>4</v>
      </c>
      <c r="D58" s="8">
        <v>2.27</v>
      </c>
      <c r="E58" s="12">
        <v>4</v>
      </c>
      <c r="F58" s="8">
        <v>2.94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171</v>
      </c>
      <c r="C59" s="12">
        <v>4</v>
      </c>
      <c r="D59" s="8">
        <v>2.27</v>
      </c>
      <c r="E59" s="12">
        <v>4</v>
      </c>
      <c r="F59" s="8">
        <v>2.94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206</v>
      </c>
      <c r="C60" s="12">
        <v>3</v>
      </c>
      <c r="D60" s="8">
        <v>1.7</v>
      </c>
      <c r="E60" s="12">
        <v>0</v>
      </c>
      <c r="F60" s="8">
        <v>0</v>
      </c>
      <c r="G60" s="12">
        <v>3</v>
      </c>
      <c r="H60" s="8">
        <v>7.69</v>
      </c>
      <c r="I60" s="12">
        <v>0</v>
      </c>
    </row>
    <row r="61" spans="2:9" ht="15" customHeight="1" x14ac:dyDescent="0.2">
      <c r="B61" t="s">
        <v>227</v>
      </c>
      <c r="C61" s="12">
        <v>3</v>
      </c>
      <c r="D61" s="8">
        <v>1.7</v>
      </c>
      <c r="E61" s="12">
        <v>3</v>
      </c>
      <c r="F61" s="8">
        <v>2.21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234</v>
      </c>
      <c r="C62" s="12">
        <v>3</v>
      </c>
      <c r="D62" s="8">
        <v>1.7</v>
      </c>
      <c r="E62" s="12">
        <v>1</v>
      </c>
      <c r="F62" s="8">
        <v>0.74</v>
      </c>
      <c r="G62" s="12">
        <v>2</v>
      </c>
      <c r="H62" s="8">
        <v>5.13</v>
      </c>
      <c r="I62" s="12">
        <v>0</v>
      </c>
    </row>
    <row r="63" spans="2:9" ht="15" customHeight="1" x14ac:dyDescent="0.2">
      <c r="B63" t="s">
        <v>241</v>
      </c>
      <c r="C63" s="12">
        <v>3</v>
      </c>
      <c r="D63" s="8">
        <v>1.7</v>
      </c>
      <c r="E63" s="12">
        <v>0</v>
      </c>
      <c r="F63" s="8">
        <v>0</v>
      </c>
      <c r="G63" s="12">
        <v>3</v>
      </c>
      <c r="H63" s="8">
        <v>7.69</v>
      </c>
      <c r="I63" s="12">
        <v>0</v>
      </c>
    </row>
    <row r="64" spans="2:9" ht="15" customHeight="1" x14ac:dyDescent="0.2">
      <c r="B64" t="s">
        <v>220</v>
      </c>
      <c r="C64" s="12">
        <v>2</v>
      </c>
      <c r="D64" s="8">
        <v>1.1399999999999999</v>
      </c>
      <c r="E64" s="12">
        <v>0</v>
      </c>
      <c r="F64" s="8">
        <v>0</v>
      </c>
      <c r="G64" s="12">
        <v>2</v>
      </c>
      <c r="H64" s="8">
        <v>5.13</v>
      </c>
      <c r="I64" s="12">
        <v>0</v>
      </c>
    </row>
    <row r="65" spans="2:9" ht="15" customHeight="1" x14ac:dyDescent="0.2">
      <c r="B65" t="s">
        <v>223</v>
      </c>
      <c r="C65" s="12">
        <v>2</v>
      </c>
      <c r="D65" s="8">
        <v>1.1399999999999999</v>
      </c>
      <c r="E65" s="12">
        <v>1</v>
      </c>
      <c r="F65" s="8">
        <v>0.74</v>
      </c>
      <c r="G65" s="12">
        <v>1</v>
      </c>
      <c r="H65" s="8">
        <v>2.56</v>
      </c>
      <c r="I65" s="12">
        <v>0</v>
      </c>
    </row>
    <row r="66" spans="2:9" ht="15" customHeight="1" x14ac:dyDescent="0.2">
      <c r="B66" t="s">
        <v>200</v>
      </c>
      <c r="C66" s="12">
        <v>2</v>
      </c>
      <c r="D66" s="8">
        <v>1.1399999999999999</v>
      </c>
      <c r="E66" s="12">
        <v>2</v>
      </c>
      <c r="F66" s="8">
        <v>1.47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261</v>
      </c>
      <c r="C67" s="12">
        <v>2</v>
      </c>
      <c r="D67" s="8">
        <v>1.1399999999999999</v>
      </c>
      <c r="E67" s="12">
        <v>2</v>
      </c>
      <c r="F67" s="8">
        <v>1.47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201</v>
      </c>
      <c r="C68" s="12">
        <v>2</v>
      </c>
      <c r="D68" s="8">
        <v>1.1399999999999999</v>
      </c>
      <c r="E68" s="12">
        <v>2</v>
      </c>
      <c r="F68" s="8">
        <v>1.47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264</v>
      </c>
      <c r="C69" s="12">
        <v>2</v>
      </c>
      <c r="D69" s="8">
        <v>1.1399999999999999</v>
      </c>
      <c r="E69" s="12">
        <v>2</v>
      </c>
      <c r="F69" s="8">
        <v>1.47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265</v>
      </c>
      <c r="C70" s="12">
        <v>2</v>
      </c>
      <c r="D70" s="8">
        <v>1.1399999999999999</v>
      </c>
      <c r="E70" s="12">
        <v>2</v>
      </c>
      <c r="F70" s="8">
        <v>1.47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250</v>
      </c>
      <c r="C71" s="12">
        <v>2</v>
      </c>
      <c r="D71" s="8">
        <v>1.1399999999999999</v>
      </c>
      <c r="E71" s="12">
        <v>1</v>
      </c>
      <c r="F71" s="8">
        <v>0.74</v>
      </c>
      <c r="G71" s="12">
        <v>1</v>
      </c>
      <c r="H71" s="8">
        <v>2.56</v>
      </c>
      <c r="I71" s="12">
        <v>0</v>
      </c>
    </row>
    <row r="72" spans="2:9" ht="15" customHeight="1" x14ac:dyDescent="0.2">
      <c r="B72" t="s">
        <v>221</v>
      </c>
      <c r="C72" s="12">
        <v>2</v>
      </c>
      <c r="D72" s="8">
        <v>1.1399999999999999</v>
      </c>
      <c r="E72" s="12">
        <v>2</v>
      </c>
      <c r="F72" s="8">
        <v>1.47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216</v>
      </c>
      <c r="C73" s="12">
        <v>2</v>
      </c>
      <c r="D73" s="8">
        <v>1.1399999999999999</v>
      </c>
      <c r="E73" s="12">
        <v>1</v>
      </c>
      <c r="F73" s="8">
        <v>0.74</v>
      </c>
      <c r="G73" s="12">
        <v>1</v>
      </c>
      <c r="H73" s="8">
        <v>2.56</v>
      </c>
      <c r="I73" s="12">
        <v>0</v>
      </c>
    </row>
    <row r="74" spans="2:9" ht="15" customHeight="1" x14ac:dyDescent="0.2">
      <c r="B74" t="s">
        <v>245</v>
      </c>
      <c r="C74" s="12">
        <v>2</v>
      </c>
      <c r="D74" s="8">
        <v>1.1399999999999999</v>
      </c>
      <c r="E74" s="12">
        <v>2</v>
      </c>
      <c r="F74" s="8">
        <v>1.47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176</v>
      </c>
      <c r="C75" s="12">
        <v>2</v>
      </c>
      <c r="D75" s="8">
        <v>1.1399999999999999</v>
      </c>
      <c r="E75" s="12">
        <v>1</v>
      </c>
      <c r="F75" s="8">
        <v>0.74</v>
      </c>
      <c r="G75" s="12">
        <v>1</v>
      </c>
      <c r="H75" s="8">
        <v>2.56</v>
      </c>
      <c r="I75" s="12">
        <v>0</v>
      </c>
    </row>
    <row r="77" spans="2:9" ht="15" customHeight="1" x14ac:dyDescent="0.2">
      <c r="B77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52D1-FFEF-42D9-86ED-5B85F013EE01}">
  <sheetPr>
    <pageSetUpPr fitToPage="1"/>
  </sheetPr>
  <dimension ref="B2:I4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67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6</v>
      </c>
      <c r="D10" s="8">
        <v>37.5</v>
      </c>
      <c r="E10" s="12">
        <v>6</v>
      </c>
      <c r="F10" s="8">
        <v>46.15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71</v>
      </c>
      <c r="C11" s="12">
        <v>3</v>
      </c>
      <c r="D11" s="8">
        <v>18.75</v>
      </c>
      <c r="E11" s="12">
        <v>1</v>
      </c>
      <c r="F11" s="8">
        <v>7.69</v>
      </c>
      <c r="G11" s="12">
        <v>2</v>
      </c>
      <c r="H11" s="8">
        <v>66.67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75</v>
      </c>
      <c r="C15" s="12">
        <v>5</v>
      </c>
      <c r="D15" s="8">
        <v>31.25</v>
      </c>
      <c r="E15" s="12">
        <v>5</v>
      </c>
      <c r="F15" s="8">
        <v>38.46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76</v>
      </c>
      <c r="C16" s="12">
        <v>2</v>
      </c>
      <c r="D16" s="8">
        <v>12.5</v>
      </c>
      <c r="E16" s="12">
        <v>1</v>
      </c>
      <c r="F16" s="8">
        <v>7.69</v>
      </c>
      <c r="G16" s="12">
        <v>1</v>
      </c>
      <c r="H16" s="8">
        <v>33.33</v>
      </c>
      <c r="I16" s="12">
        <v>0</v>
      </c>
    </row>
    <row r="17" spans="2:9" ht="15" customHeight="1" x14ac:dyDescent="0.2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79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280</v>
      </c>
      <c r="C20" s="12">
        <f>SUM(LTBL_13382[総数／事業所数])</f>
        <v>16</v>
      </c>
      <c r="E20" s="12">
        <f>SUBTOTAL(109,LTBL_13382[個人／事業所数])</f>
        <v>13</v>
      </c>
      <c r="G20" s="12">
        <f>SUBTOTAL(109,LTBL_13382[法人／事業所数])</f>
        <v>3</v>
      </c>
      <c r="I20" s="12">
        <f>SUBTOTAL(109,LTBL_13382[法人以外の団体／事業所数])</f>
        <v>0</v>
      </c>
    </row>
    <row r="21" spans="2:9" ht="15" customHeight="1" x14ac:dyDescent="0.2">
      <c r="E21" s="11">
        <f>LTBL_13382[[#Totals],[個人／事業所数]]/LTBL_13382[[#Totals],[総数／事業所数]]</f>
        <v>0.8125</v>
      </c>
      <c r="G21" s="11">
        <f>LTBL_13382[[#Totals],[法人／事業所数]]/LTBL_13382[[#Totals],[総数／事業所数]]</f>
        <v>0.1875</v>
      </c>
      <c r="I21" s="11">
        <f>LTBL_13382[[#Totals],[法人以外の団体／事業所数]]/LTBL_13382[[#Totals],[総数／事業所数]]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152</v>
      </c>
      <c r="C24" s="12">
        <v>6</v>
      </c>
      <c r="D24" s="8">
        <v>37.5</v>
      </c>
      <c r="E24" s="12">
        <v>6</v>
      </c>
      <c r="F24" s="8">
        <v>46.15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98</v>
      </c>
      <c r="C25" s="12">
        <v>3</v>
      </c>
      <c r="D25" s="8">
        <v>18.75</v>
      </c>
      <c r="E25" s="12">
        <v>1</v>
      </c>
      <c r="F25" s="8">
        <v>7.69</v>
      </c>
      <c r="G25" s="12">
        <v>2</v>
      </c>
      <c r="H25" s="8">
        <v>66.67</v>
      </c>
      <c r="I25" s="12">
        <v>0</v>
      </c>
    </row>
    <row r="26" spans="2:9" ht="15" customHeight="1" x14ac:dyDescent="0.2">
      <c r="B26" t="s">
        <v>144</v>
      </c>
      <c r="C26" s="12">
        <v>3</v>
      </c>
      <c r="D26" s="8">
        <v>18.75</v>
      </c>
      <c r="E26" s="12">
        <v>3</v>
      </c>
      <c r="F26" s="8">
        <v>23.08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103</v>
      </c>
      <c r="C27" s="12">
        <v>1</v>
      </c>
      <c r="D27" s="8">
        <v>6.25</v>
      </c>
      <c r="E27" s="12">
        <v>1</v>
      </c>
      <c r="F27" s="8">
        <v>7.69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130</v>
      </c>
      <c r="C28" s="12">
        <v>1</v>
      </c>
      <c r="D28" s="8">
        <v>6.25</v>
      </c>
      <c r="E28" s="12">
        <v>1</v>
      </c>
      <c r="F28" s="8">
        <v>7.69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104</v>
      </c>
      <c r="C29" s="12">
        <v>1</v>
      </c>
      <c r="D29" s="8">
        <v>6.25</v>
      </c>
      <c r="E29" s="12">
        <v>1</v>
      </c>
      <c r="F29" s="8">
        <v>7.69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114</v>
      </c>
      <c r="C30" s="12">
        <v>1</v>
      </c>
      <c r="D30" s="8">
        <v>6.25</v>
      </c>
      <c r="E30" s="12">
        <v>0</v>
      </c>
      <c r="F30" s="8">
        <v>0</v>
      </c>
      <c r="G30" s="12">
        <v>1</v>
      </c>
      <c r="H30" s="8">
        <v>33.33</v>
      </c>
      <c r="I30" s="12">
        <v>0</v>
      </c>
    </row>
    <row r="33" spans="2:9" ht="33" customHeight="1" x14ac:dyDescent="0.2">
      <c r="B33" t="s">
        <v>282</v>
      </c>
      <c r="C33" s="10" t="s">
        <v>81</v>
      </c>
      <c r="D33" s="10" t="s">
        <v>82</v>
      </c>
      <c r="E33" s="10" t="s">
        <v>83</v>
      </c>
      <c r="F33" s="10" t="s">
        <v>84</v>
      </c>
      <c r="G33" s="10" t="s">
        <v>85</v>
      </c>
      <c r="H33" s="10" t="s">
        <v>86</v>
      </c>
      <c r="I33" s="10" t="s">
        <v>87</v>
      </c>
    </row>
    <row r="34" spans="2:9" ht="15" customHeight="1" x14ac:dyDescent="0.2">
      <c r="B34" t="s">
        <v>266</v>
      </c>
      <c r="C34" s="12">
        <v>6</v>
      </c>
      <c r="D34" s="8">
        <v>37.5</v>
      </c>
      <c r="E34" s="12">
        <v>6</v>
      </c>
      <c r="F34" s="8">
        <v>46.15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159</v>
      </c>
      <c r="C35" s="12">
        <v>2</v>
      </c>
      <c r="D35" s="8">
        <v>12.5</v>
      </c>
      <c r="E35" s="12">
        <v>1</v>
      </c>
      <c r="F35" s="8">
        <v>7.69</v>
      </c>
      <c r="G35" s="12">
        <v>1</v>
      </c>
      <c r="H35" s="8">
        <v>33.33</v>
      </c>
      <c r="I35" s="12">
        <v>0</v>
      </c>
    </row>
    <row r="36" spans="2:9" ht="15" customHeight="1" x14ac:dyDescent="0.2">
      <c r="B36" t="s">
        <v>242</v>
      </c>
      <c r="C36" s="12">
        <v>2</v>
      </c>
      <c r="D36" s="8">
        <v>12.5</v>
      </c>
      <c r="E36" s="12">
        <v>2</v>
      </c>
      <c r="F36" s="8">
        <v>15.38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241</v>
      </c>
      <c r="C37" s="12">
        <v>1</v>
      </c>
      <c r="D37" s="8">
        <v>6.25</v>
      </c>
      <c r="E37" s="12">
        <v>0</v>
      </c>
      <c r="F37" s="8">
        <v>0</v>
      </c>
      <c r="G37" s="12">
        <v>1</v>
      </c>
      <c r="H37" s="8">
        <v>33.33</v>
      </c>
      <c r="I37" s="12">
        <v>0</v>
      </c>
    </row>
    <row r="38" spans="2:9" ht="15" customHeight="1" x14ac:dyDescent="0.2">
      <c r="B38" t="s">
        <v>243</v>
      </c>
      <c r="C38" s="12">
        <v>1</v>
      </c>
      <c r="D38" s="8">
        <v>6.25</v>
      </c>
      <c r="E38" s="12">
        <v>1</v>
      </c>
      <c r="F38" s="8">
        <v>7.69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169</v>
      </c>
      <c r="C39" s="12">
        <v>1</v>
      </c>
      <c r="D39" s="8">
        <v>6.25</v>
      </c>
      <c r="E39" s="12">
        <v>1</v>
      </c>
      <c r="F39" s="8">
        <v>7.69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267</v>
      </c>
      <c r="C40" s="12">
        <v>1</v>
      </c>
      <c r="D40" s="8">
        <v>6.25</v>
      </c>
      <c r="E40" s="12">
        <v>1</v>
      </c>
      <c r="F40" s="8">
        <v>7.69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172</v>
      </c>
      <c r="C41" s="12">
        <v>1</v>
      </c>
      <c r="D41" s="8">
        <v>6.25</v>
      </c>
      <c r="E41" s="12">
        <v>1</v>
      </c>
      <c r="F41" s="8">
        <v>7.69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248</v>
      </c>
      <c r="C42" s="12">
        <v>1</v>
      </c>
      <c r="D42" s="8">
        <v>6.25</v>
      </c>
      <c r="E42" s="12">
        <v>0</v>
      </c>
      <c r="F42" s="8">
        <v>0</v>
      </c>
      <c r="G42" s="12">
        <v>1</v>
      </c>
      <c r="H42" s="8">
        <v>33.33</v>
      </c>
      <c r="I42" s="12">
        <v>0</v>
      </c>
    </row>
    <row r="44" spans="2:9" ht="15" customHeight="1" x14ac:dyDescent="0.2">
      <c r="B44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751B-1E7D-4743-AB8C-0E1045946F0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31</v>
      </c>
      <c r="D6" s="8">
        <v>8.66</v>
      </c>
      <c r="E6" s="12">
        <v>9</v>
      </c>
      <c r="F6" s="8">
        <v>3.75</v>
      </c>
      <c r="G6" s="12">
        <v>22</v>
      </c>
      <c r="H6" s="8">
        <v>19.64</v>
      </c>
      <c r="I6" s="12">
        <v>0</v>
      </c>
    </row>
    <row r="7" spans="2:9" ht="15" customHeight="1" x14ac:dyDescent="0.2">
      <c r="B7" t="s">
        <v>67</v>
      </c>
      <c r="C7" s="12">
        <v>23</v>
      </c>
      <c r="D7" s="8">
        <v>6.42</v>
      </c>
      <c r="E7" s="12">
        <v>10</v>
      </c>
      <c r="F7" s="8">
        <v>4.17</v>
      </c>
      <c r="G7" s="12">
        <v>12</v>
      </c>
      <c r="H7" s="8">
        <v>10.71</v>
      </c>
      <c r="I7" s="12">
        <v>1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1</v>
      </c>
      <c r="D9" s="8">
        <v>0.28000000000000003</v>
      </c>
      <c r="E9" s="12">
        <v>0</v>
      </c>
      <c r="F9" s="8">
        <v>0</v>
      </c>
      <c r="G9" s="12">
        <v>1</v>
      </c>
      <c r="H9" s="8">
        <v>0.89</v>
      </c>
      <c r="I9" s="12">
        <v>0</v>
      </c>
    </row>
    <row r="10" spans="2:9" ht="15" customHeight="1" x14ac:dyDescent="0.2">
      <c r="B10" t="s">
        <v>70</v>
      </c>
      <c r="C10" s="12">
        <v>11</v>
      </c>
      <c r="D10" s="8">
        <v>3.07</v>
      </c>
      <c r="E10" s="12">
        <v>5</v>
      </c>
      <c r="F10" s="8">
        <v>2.08</v>
      </c>
      <c r="G10" s="12">
        <v>6</v>
      </c>
      <c r="H10" s="8">
        <v>5.36</v>
      </c>
      <c r="I10" s="12">
        <v>0</v>
      </c>
    </row>
    <row r="11" spans="2:9" ht="15" customHeight="1" x14ac:dyDescent="0.2">
      <c r="B11" t="s">
        <v>71</v>
      </c>
      <c r="C11" s="12">
        <v>63</v>
      </c>
      <c r="D11" s="8">
        <v>17.600000000000001</v>
      </c>
      <c r="E11" s="12">
        <v>34</v>
      </c>
      <c r="F11" s="8">
        <v>14.17</v>
      </c>
      <c r="G11" s="12">
        <v>28</v>
      </c>
      <c r="H11" s="8">
        <v>25</v>
      </c>
      <c r="I11" s="12">
        <v>1</v>
      </c>
    </row>
    <row r="12" spans="2:9" ht="15" customHeight="1" x14ac:dyDescent="0.2">
      <c r="B12" t="s">
        <v>72</v>
      </c>
      <c r="C12" s="12">
        <v>1</v>
      </c>
      <c r="D12" s="8">
        <v>0.28000000000000003</v>
      </c>
      <c r="E12" s="12">
        <v>0</v>
      </c>
      <c r="F12" s="8">
        <v>0</v>
      </c>
      <c r="G12" s="12">
        <v>1</v>
      </c>
      <c r="H12" s="8">
        <v>0.89</v>
      </c>
      <c r="I12" s="12">
        <v>0</v>
      </c>
    </row>
    <row r="13" spans="2:9" ht="15" customHeight="1" x14ac:dyDescent="0.2">
      <c r="B13" t="s">
        <v>73</v>
      </c>
      <c r="C13" s="12">
        <v>17</v>
      </c>
      <c r="D13" s="8">
        <v>4.75</v>
      </c>
      <c r="E13" s="12">
        <v>11</v>
      </c>
      <c r="F13" s="8">
        <v>4.58</v>
      </c>
      <c r="G13" s="12">
        <v>6</v>
      </c>
      <c r="H13" s="8">
        <v>5.36</v>
      </c>
      <c r="I13" s="12">
        <v>0</v>
      </c>
    </row>
    <row r="14" spans="2:9" ht="15" customHeight="1" x14ac:dyDescent="0.2">
      <c r="B14" t="s">
        <v>74</v>
      </c>
      <c r="C14" s="12">
        <v>10</v>
      </c>
      <c r="D14" s="8">
        <v>2.79</v>
      </c>
      <c r="E14" s="12">
        <v>6</v>
      </c>
      <c r="F14" s="8">
        <v>2.5</v>
      </c>
      <c r="G14" s="12">
        <v>3</v>
      </c>
      <c r="H14" s="8">
        <v>2.68</v>
      </c>
      <c r="I14" s="12">
        <v>0</v>
      </c>
    </row>
    <row r="15" spans="2:9" ht="15" customHeight="1" x14ac:dyDescent="0.2">
      <c r="B15" t="s">
        <v>75</v>
      </c>
      <c r="C15" s="12">
        <v>132</v>
      </c>
      <c r="D15" s="8">
        <v>36.869999999999997</v>
      </c>
      <c r="E15" s="12">
        <v>112</v>
      </c>
      <c r="F15" s="8">
        <v>46.67</v>
      </c>
      <c r="G15" s="12">
        <v>19</v>
      </c>
      <c r="H15" s="8">
        <v>16.96</v>
      </c>
      <c r="I15" s="12">
        <v>0</v>
      </c>
    </row>
    <row r="16" spans="2:9" ht="15" customHeight="1" x14ac:dyDescent="0.2">
      <c r="B16" t="s">
        <v>76</v>
      </c>
      <c r="C16" s="12">
        <v>39</v>
      </c>
      <c r="D16" s="8">
        <v>10.89</v>
      </c>
      <c r="E16" s="12">
        <v>35</v>
      </c>
      <c r="F16" s="8">
        <v>14.58</v>
      </c>
      <c r="G16" s="12">
        <v>4</v>
      </c>
      <c r="H16" s="8">
        <v>3.57</v>
      </c>
      <c r="I16" s="12">
        <v>0</v>
      </c>
    </row>
    <row r="17" spans="2:9" ht="15" customHeight="1" x14ac:dyDescent="0.2">
      <c r="B17" t="s">
        <v>77</v>
      </c>
      <c r="C17" s="12">
        <v>9</v>
      </c>
      <c r="D17" s="8">
        <v>2.5099999999999998</v>
      </c>
      <c r="E17" s="12">
        <v>9</v>
      </c>
      <c r="F17" s="8">
        <v>3.75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12</v>
      </c>
      <c r="D18" s="8">
        <v>3.35</v>
      </c>
      <c r="E18" s="12">
        <v>7</v>
      </c>
      <c r="F18" s="8">
        <v>2.92</v>
      </c>
      <c r="G18" s="12">
        <v>5</v>
      </c>
      <c r="H18" s="8">
        <v>4.46</v>
      </c>
      <c r="I18" s="12">
        <v>0</v>
      </c>
    </row>
    <row r="19" spans="2:9" ht="15" customHeight="1" x14ac:dyDescent="0.2">
      <c r="B19" t="s">
        <v>79</v>
      </c>
      <c r="C19" s="12">
        <v>9</v>
      </c>
      <c r="D19" s="8">
        <v>2.5099999999999998</v>
      </c>
      <c r="E19" s="12">
        <v>2</v>
      </c>
      <c r="F19" s="8">
        <v>0.83</v>
      </c>
      <c r="G19" s="12">
        <v>5</v>
      </c>
      <c r="H19" s="8">
        <v>4.46</v>
      </c>
      <c r="I19" s="12">
        <v>1</v>
      </c>
    </row>
    <row r="20" spans="2:9" ht="15" customHeight="1" x14ac:dyDescent="0.2">
      <c r="B20" s="9" t="s">
        <v>280</v>
      </c>
      <c r="C20" s="12">
        <f>SUM(LTBL_13401[総数／事業所数])</f>
        <v>358</v>
      </c>
      <c r="E20" s="12">
        <f>SUBTOTAL(109,LTBL_13401[個人／事業所数])</f>
        <v>240</v>
      </c>
      <c r="G20" s="12">
        <f>SUBTOTAL(109,LTBL_13401[法人／事業所数])</f>
        <v>112</v>
      </c>
      <c r="I20" s="12">
        <f>SUBTOTAL(109,LTBL_13401[法人以外の団体／事業所数])</f>
        <v>3</v>
      </c>
    </row>
    <row r="21" spans="2:9" ht="15" customHeight="1" x14ac:dyDescent="0.2">
      <c r="E21" s="11">
        <f>LTBL_13401[[#Totals],[個人／事業所数]]/LTBL_13401[[#Totals],[総数／事業所数]]</f>
        <v>0.67039106145251393</v>
      </c>
      <c r="G21" s="11">
        <f>LTBL_13401[[#Totals],[法人／事業所数]]/LTBL_13401[[#Totals],[総数／事業所数]]</f>
        <v>0.31284916201117319</v>
      </c>
      <c r="I21" s="11">
        <f>LTBL_13401[[#Totals],[法人以外の団体／事業所数]]/LTBL_13401[[#Totals],[総数／事業所数]]</f>
        <v>8.3798882681564244E-3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103</v>
      </c>
      <c r="C24" s="12">
        <v>96</v>
      </c>
      <c r="D24" s="8">
        <v>26.82</v>
      </c>
      <c r="E24" s="12">
        <v>83</v>
      </c>
      <c r="F24" s="8">
        <v>34.58</v>
      </c>
      <c r="G24" s="12">
        <v>13</v>
      </c>
      <c r="H24" s="8">
        <v>11.61</v>
      </c>
      <c r="I24" s="12">
        <v>0</v>
      </c>
    </row>
    <row r="25" spans="2:9" ht="15" customHeight="1" x14ac:dyDescent="0.2">
      <c r="B25" t="s">
        <v>144</v>
      </c>
      <c r="C25" s="12">
        <v>32</v>
      </c>
      <c r="D25" s="8">
        <v>8.94</v>
      </c>
      <c r="E25" s="12">
        <v>26</v>
      </c>
      <c r="F25" s="8">
        <v>10.83</v>
      </c>
      <c r="G25" s="12">
        <v>6</v>
      </c>
      <c r="H25" s="8">
        <v>5.36</v>
      </c>
      <c r="I25" s="12">
        <v>0</v>
      </c>
    </row>
    <row r="26" spans="2:9" ht="15" customHeight="1" x14ac:dyDescent="0.2">
      <c r="B26" t="s">
        <v>104</v>
      </c>
      <c r="C26" s="12">
        <v>26</v>
      </c>
      <c r="D26" s="8">
        <v>7.26</v>
      </c>
      <c r="E26" s="12">
        <v>25</v>
      </c>
      <c r="F26" s="8">
        <v>10.42</v>
      </c>
      <c r="G26" s="12">
        <v>1</v>
      </c>
      <c r="H26" s="8">
        <v>0.89</v>
      </c>
      <c r="I26" s="12">
        <v>0</v>
      </c>
    </row>
    <row r="27" spans="2:9" ht="15" customHeight="1" x14ac:dyDescent="0.2">
      <c r="B27" t="s">
        <v>96</v>
      </c>
      <c r="C27" s="12">
        <v>20</v>
      </c>
      <c r="D27" s="8">
        <v>5.59</v>
      </c>
      <c r="E27" s="12">
        <v>14</v>
      </c>
      <c r="F27" s="8">
        <v>5.83</v>
      </c>
      <c r="G27" s="12">
        <v>5</v>
      </c>
      <c r="H27" s="8">
        <v>4.46</v>
      </c>
      <c r="I27" s="12">
        <v>1</v>
      </c>
    </row>
    <row r="28" spans="2:9" ht="15" customHeight="1" x14ac:dyDescent="0.2">
      <c r="B28" t="s">
        <v>98</v>
      </c>
      <c r="C28" s="12">
        <v>16</v>
      </c>
      <c r="D28" s="8">
        <v>4.47</v>
      </c>
      <c r="E28" s="12">
        <v>8</v>
      </c>
      <c r="F28" s="8">
        <v>3.33</v>
      </c>
      <c r="G28" s="12">
        <v>8</v>
      </c>
      <c r="H28" s="8">
        <v>7.14</v>
      </c>
      <c r="I28" s="12">
        <v>0</v>
      </c>
    </row>
    <row r="29" spans="2:9" ht="15" customHeight="1" x14ac:dyDescent="0.2">
      <c r="B29" t="s">
        <v>88</v>
      </c>
      <c r="C29" s="12">
        <v>15</v>
      </c>
      <c r="D29" s="8">
        <v>4.1900000000000004</v>
      </c>
      <c r="E29" s="12">
        <v>3</v>
      </c>
      <c r="F29" s="8">
        <v>1.25</v>
      </c>
      <c r="G29" s="12">
        <v>12</v>
      </c>
      <c r="H29" s="8">
        <v>10.71</v>
      </c>
      <c r="I29" s="12">
        <v>0</v>
      </c>
    </row>
    <row r="30" spans="2:9" ht="15" customHeight="1" x14ac:dyDescent="0.2">
      <c r="B30" t="s">
        <v>138</v>
      </c>
      <c r="C30" s="12">
        <v>14</v>
      </c>
      <c r="D30" s="8">
        <v>3.91</v>
      </c>
      <c r="E30" s="12">
        <v>8</v>
      </c>
      <c r="F30" s="8">
        <v>3.33</v>
      </c>
      <c r="G30" s="12">
        <v>5</v>
      </c>
      <c r="H30" s="8">
        <v>4.46</v>
      </c>
      <c r="I30" s="12">
        <v>1</v>
      </c>
    </row>
    <row r="31" spans="2:9" ht="15" customHeight="1" x14ac:dyDescent="0.2">
      <c r="B31" t="s">
        <v>89</v>
      </c>
      <c r="C31" s="12">
        <v>10</v>
      </c>
      <c r="D31" s="8">
        <v>2.79</v>
      </c>
      <c r="E31" s="12">
        <v>5</v>
      </c>
      <c r="F31" s="8">
        <v>2.08</v>
      </c>
      <c r="G31" s="12">
        <v>5</v>
      </c>
      <c r="H31" s="8">
        <v>4.46</v>
      </c>
      <c r="I31" s="12">
        <v>0</v>
      </c>
    </row>
    <row r="32" spans="2:9" ht="15" customHeight="1" x14ac:dyDescent="0.2">
      <c r="B32" t="s">
        <v>114</v>
      </c>
      <c r="C32" s="12">
        <v>10</v>
      </c>
      <c r="D32" s="8">
        <v>2.79</v>
      </c>
      <c r="E32" s="12">
        <v>7</v>
      </c>
      <c r="F32" s="8">
        <v>2.92</v>
      </c>
      <c r="G32" s="12">
        <v>3</v>
      </c>
      <c r="H32" s="8">
        <v>2.68</v>
      </c>
      <c r="I32" s="12">
        <v>0</v>
      </c>
    </row>
    <row r="33" spans="2:9" ht="15" customHeight="1" x14ac:dyDescent="0.2">
      <c r="B33" t="s">
        <v>106</v>
      </c>
      <c r="C33" s="12">
        <v>10</v>
      </c>
      <c r="D33" s="8">
        <v>2.79</v>
      </c>
      <c r="E33" s="12">
        <v>7</v>
      </c>
      <c r="F33" s="8">
        <v>2.92</v>
      </c>
      <c r="G33" s="12">
        <v>3</v>
      </c>
      <c r="H33" s="8">
        <v>2.68</v>
      </c>
      <c r="I33" s="12">
        <v>0</v>
      </c>
    </row>
    <row r="34" spans="2:9" ht="15" customHeight="1" x14ac:dyDescent="0.2">
      <c r="B34" t="s">
        <v>97</v>
      </c>
      <c r="C34" s="12">
        <v>9</v>
      </c>
      <c r="D34" s="8">
        <v>2.5099999999999998</v>
      </c>
      <c r="E34" s="12">
        <v>4</v>
      </c>
      <c r="F34" s="8">
        <v>1.67</v>
      </c>
      <c r="G34" s="12">
        <v>5</v>
      </c>
      <c r="H34" s="8">
        <v>4.46</v>
      </c>
      <c r="I34" s="12">
        <v>0</v>
      </c>
    </row>
    <row r="35" spans="2:9" ht="15" customHeight="1" x14ac:dyDescent="0.2">
      <c r="B35" t="s">
        <v>105</v>
      </c>
      <c r="C35" s="12">
        <v>9</v>
      </c>
      <c r="D35" s="8">
        <v>2.5099999999999998</v>
      </c>
      <c r="E35" s="12">
        <v>9</v>
      </c>
      <c r="F35" s="8">
        <v>3.75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123</v>
      </c>
      <c r="C36" s="12">
        <v>8</v>
      </c>
      <c r="D36" s="8">
        <v>2.23</v>
      </c>
      <c r="E36" s="12">
        <v>5</v>
      </c>
      <c r="F36" s="8">
        <v>2.08</v>
      </c>
      <c r="G36" s="12">
        <v>3</v>
      </c>
      <c r="H36" s="8">
        <v>2.68</v>
      </c>
      <c r="I36" s="12">
        <v>0</v>
      </c>
    </row>
    <row r="37" spans="2:9" ht="15" customHeight="1" x14ac:dyDescent="0.2">
      <c r="B37" t="s">
        <v>100</v>
      </c>
      <c r="C37" s="12">
        <v>8</v>
      </c>
      <c r="D37" s="8">
        <v>2.23</v>
      </c>
      <c r="E37" s="12">
        <v>6</v>
      </c>
      <c r="F37" s="8">
        <v>2.5</v>
      </c>
      <c r="G37" s="12">
        <v>2</v>
      </c>
      <c r="H37" s="8">
        <v>1.79</v>
      </c>
      <c r="I37" s="12">
        <v>0</v>
      </c>
    </row>
    <row r="38" spans="2:9" ht="15" customHeight="1" x14ac:dyDescent="0.2">
      <c r="B38" t="s">
        <v>102</v>
      </c>
      <c r="C38" s="12">
        <v>8</v>
      </c>
      <c r="D38" s="8">
        <v>2.23</v>
      </c>
      <c r="E38" s="12">
        <v>5</v>
      </c>
      <c r="F38" s="8">
        <v>2.08</v>
      </c>
      <c r="G38" s="12">
        <v>2</v>
      </c>
      <c r="H38" s="8">
        <v>1.79</v>
      </c>
      <c r="I38" s="12">
        <v>0</v>
      </c>
    </row>
    <row r="39" spans="2:9" ht="15" customHeight="1" x14ac:dyDescent="0.2">
      <c r="B39" t="s">
        <v>95</v>
      </c>
      <c r="C39" s="12">
        <v>7</v>
      </c>
      <c r="D39" s="8">
        <v>1.96</v>
      </c>
      <c r="E39" s="12">
        <v>6</v>
      </c>
      <c r="F39" s="8">
        <v>2.5</v>
      </c>
      <c r="G39" s="12">
        <v>1</v>
      </c>
      <c r="H39" s="8">
        <v>0.89</v>
      </c>
      <c r="I39" s="12">
        <v>0</v>
      </c>
    </row>
    <row r="40" spans="2:9" ht="15" customHeight="1" x14ac:dyDescent="0.2">
      <c r="B40" t="s">
        <v>107</v>
      </c>
      <c r="C40" s="12">
        <v>7</v>
      </c>
      <c r="D40" s="8">
        <v>1.96</v>
      </c>
      <c r="E40" s="12">
        <v>2</v>
      </c>
      <c r="F40" s="8">
        <v>0.83</v>
      </c>
      <c r="G40" s="12">
        <v>4</v>
      </c>
      <c r="H40" s="8">
        <v>3.57</v>
      </c>
      <c r="I40" s="12">
        <v>1</v>
      </c>
    </row>
    <row r="41" spans="2:9" ht="15" customHeight="1" x14ac:dyDescent="0.2">
      <c r="B41" t="s">
        <v>90</v>
      </c>
      <c r="C41" s="12">
        <v>6</v>
      </c>
      <c r="D41" s="8">
        <v>1.68</v>
      </c>
      <c r="E41" s="12">
        <v>1</v>
      </c>
      <c r="F41" s="8">
        <v>0.42</v>
      </c>
      <c r="G41" s="12">
        <v>5</v>
      </c>
      <c r="H41" s="8">
        <v>4.46</v>
      </c>
      <c r="I41" s="12">
        <v>0</v>
      </c>
    </row>
    <row r="42" spans="2:9" ht="15" customHeight="1" x14ac:dyDescent="0.2">
      <c r="B42" t="s">
        <v>142</v>
      </c>
      <c r="C42" s="12">
        <v>6</v>
      </c>
      <c r="D42" s="8">
        <v>1.68</v>
      </c>
      <c r="E42" s="12">
        <v>4</v>
      </c>
      <c r="F42" s="8">
        <v>1.67</v>
      </c>
      <c r="G42" s="12">
        <v>2</v>
      </c>
      <c r="H42" s="8">
        <v>1.79</v>
      </c>
      <c r="I42" s="12">
        <v>0</v>
      </c>
    </row>
    <row r="43" spans="2:9" ht="15" customHeight="1" x14ac:dyDescent="0.2">
      <c r="B43" t="s">
        <v>151</v>
      </c>
      <c r="C43" s="12">
        <v>4</v>
      </c>
      <c r="D43" s="8">
        <v>1.1200000000000001</v>
      </c>
      <c r="E43" s="12">
        <v>0</v>
      </c>
      <c r="F43" s="8">
        <v>0</v>
      </c>
      <c r="G43" s="12">
        <v>4</v>
      </c>
      <c r="H43" s="8">
        <v>3.57</v>
      </c>
      <c r="I43" s="12">
        <v>0</v>
      </c>
    </row>
    <row r="44" spans="2:9" ht="15" customHeight="1" x14ac:dyDescent="0.2">
      <c r="B44" t="s">
        <v>109</v>
      </c>
      <c r="C44" s="12">
        <v>4</v>
      </c>
      <c r="D44" s="8">
        <v>1.1200000000000001</v>
      </c>
      <c r="E44" s="12">
        <v>2</v>
      </c>
      <c r="F44" s="8">
        <v>0.83</v>
      </c>
      <c r="G44" s="12">
        <v>2</v>
      </c>
      <c r="H44" s="8">
        <v>1.79</v>
      </c>
      <c r="I44" s="12">
        <v>0</v>
      </c>
    </row>
    <row r="45" spans="2:9" ht="15" customHeight="1" x14ac:dyDescent="0.2">
      <c r="B45" t="s">
        <v>110</v>
      </c>
      <c r="C45" s="12">
        <v>4</v>
      </c>
      <c r="D45" s="8">
        <v>1.1200000000000001</v>
      </c>
      <c r="E45" s="12">
        <v>0</v>
      </c>
      <c r="F45" s="8">
        <v>0</v>
      </c>
      <c r="G45" s="12">
        <v>4</v>
      </c>
      <c r="H45" s="8">
        <v>3.57</v>
      </c>
      <c r="I45" s="12">
        <v>0</v>
      </c>
    </row>
    <row r="46" spans="2:9" ht="15" customHeight="1" x14ac:dyDescent="0.2">
      <c r="B46" t="s">
        <v>130</v>
      </c>
      <c r="C46" s="12">
        <v>4</v>
      </c>
      <c r="D46" s="8">
        <v>1.1200000000000001</v>
      </c>
      <c r="E46" s="12">
        <v>3</v>
      </c>
      <c r="F46" s="8">
        <v>1.25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282</v>
      </c>
      <c r="C49" s="10" t="s">
        <v>81</v>
      </c>
      <c r="D49" s="10" t="s">
        <v>82</v>
      </c>
      <c r="E49" s="10" t="s">
        <v>83</v>
      </c>
      <c r="F49" s="10" t="s">
        <v>84</v>
      </c>
      <c r="G49" s="10" t="s">
        <v>85</v>
      </c>
      <c r="H49" s="10" t="s">
        <v>86</v>
      </c>
      <c r="I49" s="10" t="s">
        <v>87</v>
      </c>
    </row>
    <row r="50" spans="2:9" ht="15" customHeight="1" x14ac:dyDescent="0.2">
      <c r="B50" t="s">
        <v>170</v>
      </c>
      <c r="C50" s="12">
        <v>30</v>
      </c>
      <c r="D50" s="8">
        <v>8.3800000000000008</v>
      </c>
      <c r="E50" s="12">
        <v>28</v>
      </c>
      <c r="F50" s="8">
        <v>11.67</v>
      </c>
      <c r="G50" s="12">
        <v>2</v>
      </c>
      <c r="H50" s="8">
        <v>1.79</v>
      </c>
      <c r="I50" s="12">
        <v>0</v>
      </c>
    </row>
    <row r="51" spans="2:9" ht="15" customHeight="1" x14ac:dyDescent="0.2">
      <c r="B51" t="s">
        <v>242</v>
      </c>
      <c r="C51" s="12">
        <v>26</v>
      </c>
      <c r="D51" s="8">
        <v>7.26</v>
      </c>
      <c r="E51" s="12">
        <v>21</v>
      </c>
      <c r="F51" s="8">
        <v>8.75</v>
      </c>
      <c r="G51" s="12">
        <v>5</v>
      </c>
      <c r="H51" s="8">
        <v>4.46</v>
      </c>
      <c r="I51" s="12">
        <v>0</v>
      </c>
    </row>
    <row r="52" spans="2:9" ht="15" customHeight="1" x14ac:dyDescent="0.2">
      <c r="B52" t="s">
        <v>169</v>
      </c>
      <c r="C52" s="12">
        <v>24</v>
      </c>
      <c r="D52" s="8">
        <v>6.7</v>
      </c>
      <c r="E52" s="12">
        <v>21</v>
      </c>
      <c r="F52" s="8">
        <v>8.75</v>
      </c>
      <c r="G52" s="12">
        <v>3</v>
      </c>
      <c r="H52" s="8">
        <v>2.68</v>
      </c>
      <c r="I52" s="12">
        <v>0</v>
      </c>
    </row>
    <row r="53" spans="2:9" ht="15" customHeight="1" x14ac:dyDescent="0.2">
      <c r="B53" t="s">
        <v>168</v>
      </c>
      <c r="C53" s="12">
        <v>18</v>
      </c>
      <c r="D53" s="8">
        <v>5.03</v>
      </c>
      <c r="E53" s="12">
        <v>14</v>
      </c>
      <c r="F53" s="8">
        <v>5.83</v>
      </c>
      <c r="G53" s="12">
        <v>4</v>
      </c>
      <c r="H53" s="8">
        <v>3.57</v>
      </c>
      <c r="I53" s="12">
        <v>0</v>
      </c>
    </row>
    <row r="54" spans="2:9" ht="15" customHeight="1" x14ac:dyDescent="0.2">
      <c r="B54" t="s">
        <v>172</v>
      </c>
      <c r="C54" s="12">
        <v>14</v>
      </c>
      <c r="D54" s="8">
        <v>3.91</v>
      </c>
      <c r="E54" s="12">
        <v>14</v>
      </c>
      <c r="F54" s="8">
        <v>5.83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191</v>
      </c>
      <c r="C55" s="12">
        <v>11</v>
      </c>
      <c r="D55" s="8">
        <v>3.07</v>
      </c>
      <c r="E55" s="12">
        <v>11</v>
      </c>
      <c r="F55" s="8">
        <v>4.58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257</v>
      </c>
      <c r="C56" s="12">
        <v>9</v>
      </c>
      <c r="D56" s="8">
        <v>2.5099999999999998</v>
      </c>
      <c r="E56" s="12">
        <v>6</v>
      </c>
      <c r="F56" s="8">
        <v>2.5</v>
      </c>
      <c r="G56" s="12">
        <v>3</v>
      </c>
      <c r="H56" s="8">
        <v>2.68</v>
      </c>
      <c r="I56" s="12">
        <v>0</v>
      </c>
    </row>
    <row r="57" spans="2:9" ht="15" customHeight="1" x14ac:dyDescent="0.2">
      <c r="B57" t="s">
        <v>171</v>
      </c>
      <c r="C57" s="12">
        <v>9</v>
      </c>
      <c r="D57" s="8">
        <v>2.5099999999999998</v>
      </c>
      <c r="E57" s="12">
        <v>9</v>
      </c>
      <c r="F57" s="8">
        <v>3.75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216</v>
      </c>
      <c r="C58" s="12">
        <v>8</v>
      </c>
      <c r="D58" s="8">
        <v>2.23</v>
      </c>
      <c r="E58" s="12">
        <v>6</v>
      </c>
      <c r="F58" s="8">
        <v>2.5</v>
      </c>
      <c r="G58" s="12">
        <v>2</v>
      </c>
      <c r="H58" s="8">
        <v>1.79</v>
      </c>
      <c r="I58" s="12">
        <v>0</v>
      </c>
    </row>
    <row r="59" spans="2:9" ht="15" customHeight="1" x14ac:dyDescent="0.2">
      <c r="B59" t="s">
        <v>248</v>
      </c>
      <c r="C59" s="12">
        <v>8</v>
      </c>
      <c r="D59" s="8">
        <v>2.23</v>
      </c>
      <c r="E59" s="12">
        <v>5</v>
      </c>
      <c r="F59" s="8">
        <v>2.08</v>
      </c>
      <c r="G59" s="12">
        <v>3</v>
      </c>
      <c r="H59" s="8">
        <v>2.68</v>
      </c>
      <c r="I59" s="12">
        <v>0</v>
      </c>
    </row>
    <row r="60" spans="2:9" ht="15" customHeight="1" x14ac:dyDescent="0.2">
      <c r="B60" t="s">
        <v>207</v>
      </c>
      <c r="C60" s="12">
        <v>7</v>
      </c>
      <c r="D60" s="8">
        <v>1.96</v>
      </c>
      <c r="E60" s="12">
        <v>5</v>
      </c>
      <c r="F60" s="8">
        <v>2.08</v>
      </c>
      <c r="G60" s="12">
        <v>2</v>
      </c>
      <c r="H60" s="8">
        <v>1.79</v>
      </c>
      <c r="I60" s="12">
        <v>0</v>
      </c>
    </row>
    <row r="61" spans="2:9" ht="15" customHeight="1" x14ac:dyDescent="0.2">
      <c r="B61" t="s">
        <v>173</v>
      </c>
      <c r="C61" s="12">
        <v>7</v>
      </c>
      <c r="D61" s="8">
        <v>1.96</v>
      </c>
      <c r="E61" s="12">
        <v>7</v>
      </c>
      <c r="F61" s="8">
        <v>2.92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175</v>
      </c>
      <c r="C62" s="12">
        <v>7</v>
      </c>
      <c r="D62" s="8">
        <v>1.96</v>
      </c>
      <c r="E62" s="12">
        <v>6</v>
      </c>
      <c r="F62" s="8">
        <v>2.5</v>
      </c>
      <c r="G62" s="12">
        <v>1</v>
      </c>
      <c r="H62" s="8">
        <v>0.89</v>
      </c>
      <c r="I62" s="12">
        <v>0</v>
      </c>
    </row>
    <row r="63" spans="2:9" ht="15" customHeight="1" x14ac:dyDescent="0.2">
      <c r="B63" t="s">
        <v>221</v>
      </c>
      <c r="C63" s="12">
        <v>6</v>
      </c>
      <c r="D63" s="8">
        <v>1.68</v>
      </c>
      <c r="E63" s="12">
        <v>3</v>
      </c>
      <c r="F63" s="8">
        <v>1.25</v>
      </c>
      <c r="G63" s="12">
        <v>3</v>
      </c>
      <c r="H63" s="8">
        <v>2.68</v>
      </c>
      <c r="I63" s="12">
        <v>0</v>
      </c>
    </row>
    <row r="64" spans="2:9" ht="15" customHeight="1" x14ac:dyDescent="0.2">
      <c r="B64" t="s">
        <v>162</v>
      </c>
      <c r="C64" s="12">
        <v>6</v>
      </c>
      <c r="D64" s="8">
        <v>1.68</v>
      </c>
      <c r="E64" s="12">
        <v>6</v>
      </c>
      <c r="F64" s="8">
        <v>2.5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268</v>
      </c>
      <c r="C65" s="12">
        <v>6</v>
      </c>
      <c r="D65" s="8">
        <v>1.68</v>
      </c>
      <c r="E65" s="12">
        <v>4</v>
      </c>
      <c r="F65" s="8">
        <v>1.67</v>
      </c>
      <c r="G65" s="12">
        <v>2</v>
      </c>
      <c r="H65" s="8">
        <v>1.79</v>
      </c>
      <c r="I65" s="12">
        <v>0</v>
      </c>
    </row>
    <row r="66" spans="2:9" ht="15" customHeight="1" x14ac:dyDescent="0.2">
      <c r="B66" t="s">
        <v>243</v>
      </c>
      <c r="C66" s="12">
        <v>6</v>
      </c>
      <c r="D66" s="8">
        <v>1.68</v>
      </c>
      <c r="E66" s="12">
        <v>5</v>
      </c>
      <c r="F66" s="8">
        <v>2.08</v>
      </c>
      <c r="G66" s="12">
        <v>1</v>
      </c>
      <c r="H66" s="8">
        <v>0.89</v>
      </c>
      <c r="I66" s="12">
        <v>0</v>
      </c>
    </row>
    <row r="67" spans="2:9" ht="15" customHeight="1" x14ac:dyDescent="0.2">
      <c r="B67" t="s">
        <v>223</v>
      </c>
      <c r="C67" s="12">
        <v>5</v>
      </c>
      <c r="D67" s="8">
        <v>1.4</v>
      </c>
      <c r="E67" s="12">
        <v>2</v>
      </c>
      <c r="F67" s="8">
        <v>0.83</v>
      </c>
      <c r="G67" s="12">
        <v>3</v>
      </c>
      <c r="H67" s="8">
        <v>2.68</v>
      </c>
      <c r="I67" s="12">
        <v>0</v>
      </c>
    </row>
    <row r="68" spans="2:9" ht="15" customHeight="1" x14ac:dyDescent="0.2">
      <c r="B68" t="s">
        <v>192</v>
      </c>
      <c r="C68" s="12">
        <v>5</v>
      </c>
      <c r="D68" s="8">
        <v>1.4</v>
      </c>
      <c r="E68" s="12">
        <v>1</v>
      </c>
      <c r="F68" s="8">
        <v>0.42</v>
      </c>
      <c r="G68" s="12">
        <v>4</v>
      </c>
      <c r="H68" s="8">
        <v>3.57</v>
      </c>
      <c r="I68" s="12">
        <v>0</v>
      </c>
    </row>
    <row r="69" spans="2:9" ht="15" customHeight="1" x14ac:dyDescent="0.2">
      <c r="B69" t="s">
        <v>205</v>
      </c>
      <c r="C69" s="12">
        <v>5</v>
      </c>
      <c r="D69" s="8">
        <v>1.4</v>
      </c>
      <c r="E69" s="12">
        <v>3</v>
      </c>
      <c r="F69" s="8">
        <v>1.25</v>
      </c>
      <c r="G69" s="12">
        <v>1</v>
      </c>
      <c r="H69" s="8">
        <v>0.89</v>
      </c>
      <c r="I69" s="12">
        <v>1</v>
      </c>
    </row>
    <row r="70" spans="2:9" ht="15" customHeight="1" x14ac:dyDescent="0.2">
      <c r="B70" t="s">
        <v>159</v>
      </c>
      <c r="C70" s="12">
        <v>5</v>
      </c>
      <c r="D70" s="8">
        <v>1.4</v>
      </c>
      <c r="E70" s="12">
        <v>4</v>
      </c>
      <c r="F70" s="8">
        <v>1.67</v>
      </c>
      <c r="G70" s="12">
        <v>1</v>
      </c>
      <c r="H70" s="8">
        <v>0.89</v>
      </c>
      <c r="I70" s="12">
        <v>0</v>
      </c>
    </row>
    <row r="71" spans="2:9" ht="15" customHeight="1" x14ac:dyDescent="0.2">
      <c r="B71" t="s">
        <v>176</v>
      </c>
      <c r="C71" s="12">
        <v>5</v>
      </c>
      <c r="D71" s="8">
        <v>1.4</v>
      </c>
      <c r="E71" s="12">
        <v>0</v>
      </c>
      <c r="F71" s="8">
        <v>0</v>
      </c>
      <c r="G71" s="12">
        <v>4</v>
      </c>
      <c r="H71" s="8">
        <v>3.57</v>
      </c>
      <c r="I71" s="12">
        <v>1</v>
      </c>
    </row>
    <row r="73" spans="2:9" ht="15" customHeight="1" x14ac:dyDescent="0.2">
      <c r="B73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D28D-9322-450A-91E7-0340619FA033}">
  <sheetPr>
    <pageSetUpPr fitToPage="1"/>
  </sheetPr>
  <dimension ref="B2:I4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</v>
      </c>
      <c r="D6" s="8">
        <v>8.33</v>
      </c>
      <c r="E6" s="12">
        <v>0</v>
      </c>
      <c r="F6" s="8">
        <v>0</v>
      </c>
      <c r="G6" s="12">
        <v>1</v>
      </c>
      <c r="H6" s="8">
        <v>20</v>
      </c>
      <c r="I6" s="12">
        <v>0</v>
      </c>
    </row>
    <row r="7" spans="2:9" ht="15" customHeight="1" x14ac:dyDescent="0.2">
      <c r="B7" t="s">
        <v>67</v>
      </c>
      <c r="C7" s="12">
        <v>2</v>
      </c>
      <c r="D7" s="8">
        <v>16.670000000000002</v>
      </c>
      <c r="E7" s="12">
        <v>0</v>
      </c>
      <c r="F7" s="8">
        <v>0</v>
      </c>
      <c r="G7" s="12">
        <v>2</v>
      </c>
      <c r="H7" s="8">
        <v>40</v>
      </c>
      <c r="I7" s="12">
        <v>0</v>
      </c>
    </row>
    <row r="8" spans="2:9" ht="15" customHeight="1" x14ac:dyDescent="0.2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71</v>
      </c>
      <c r="C11" s="12">
        <v>1</v>
      </c>
      <c r="D11" s="8">
        <v>8.33</v>
      </c>
      <c r="E11" s="12">
        <v>1</v>
      </c>
      <c r="F11" s="8">
        <v>16.670000000000002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75</v>
      </c>
      <c r="C15" s="12">
        <v>6</v>
      </c>
      <c r="D15" s="8">
        <v>50</v>
      </c>
      <c r="E15" s="12">
        <v>5</v>
      </c>
      <c r="F15" s="8">
        <v>83.33</v>
      </c>
      <c r="G15" s="12">
        <v>1</v>
      </c>
      <c r="H15" s="8">
        <v>20</v>
      </c>
      <c r="I15" s="12">
        <v>0</v>
      </c>
    </row>
    <row r="16" spans="2:9" ht="15" customHeight="1" x14ac:dyDescent="0.2">
      <c r="B16" t="s">
        <v>76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1</v>
      </c>
      <c r="D18" s="8">
        <v>8.33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79</v>
      </c>
      <c r="C19" s="12">
        <v>1</v>
      </c>
      <c r="D19" s="8">
        <v>8.33</v>
      </c>
      <c r="E19" s="12">
        <v>0</v>
      </c>
      <c r="F19" s="8">
        <v>0</v>
      </c>
      <c r="G19" s="12">
        <v>1</v>
      </c>
      <c r="H19" s="8">
        <v>20</v>
      </c>
      <c r="I19" s="12">
        <v>0</v>
      </c>
    </row>
    <row r="20" spans="2:9" ht="15" customHeight="1" x14ac:dyDescent="0.2">
      <c r="B20" s="9" t="s">
        <v>280</v>
      </c>
      <c r="C20" s="12">
        <f>SUM(LTBL_13402[総数／事業所数])</f>
        <v>12</v>
      </c>
      <c r="E20" s="12">
        <f>SUBTOTAL(109,LTBL_13402[個人／事業所数])</f>
        <v>6</v>
      </c>
      <c r="G20" s="12">
        <f>SUBTOTAL(109,LTBL_13402[法人／事業所数])</f>
        <v>5</v>
      </c>
      <c r="I20" s="12">
        <f>SUBTOTAL(109,LTBL_13402[法人以外の団体／事業所数])</f>
        <v>0</v>
      </c>
    </row>
    <row r="21" spans="2:9" ht="15" customHeight="1" x14ac:dyDescent="0.2">
      <c r="E21" s="11">
        <f>LTBL_13402[[#Totals],[個人／事業所数]]/LTBL_13402[[#Totals],[総数／事業所数]]</f>
        <v>0.5</v>
      </c>
      <c r="G21" s="11">
        <f>LTBL_13402[[#Totals],[法人／事業所数]]/LTBL_13402[[#Totals],[総数／事業所数]]</f>
        <v>0.41666666666666669</v>
      </c>
      <c r="I21" s="11">
        <f>LTBL_13402[[#Totals],[法人以外の団体／事業所数]]/LTBL_13402[[#Totals],[総数／事業所数]]</f>
        <v>0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4</v>
      </c>
      <c r="D24" s="8">
        <v>33.33</v>
      </c>
      <c r="E24" s="12">
        <v>3</v>
      </c>
      <c r="F24" s="8">
        <v>50</v>
      </c>
      <c r="G24" s="12">
        <v>1</v>
      </c>
      <c r="H24" s="8">
        <v>20</v>
      </c>
      <c r="I24" s="12">
        <v>0</v>
      </c>
    </row>
    <row r="25" spans="2:9" ht="15" customHeight="1" x14ac:dyDescent="0.2">
      <c r="B25" t="s">
        <v>103</v>
      </c>
      <c r="C25" s="12">
        <v>2</v>
      </c>
      <c r="D25" s="8">
        <v>16.670000000000002</v>
      </c>
      <c r="E25" s="12">
        <v>2</v>
      </c>
      <c r="F25" s="8">
        <v>33.33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90</v>
      </c>
      <c r="C26" s="12">
        <v>1</v>
      </c>
      <c r="D26" s="8">
        <v>8.33</v>
      </c>
      <c r="E26" s="12">
        <v>0</v>
      </c>
      <c r="F26" s="8">
        <v>0</v>
      </c>
      <c r="G26" s="12">
        <v>1</v>
      </c>
      <c r="H26" s="8">
        <v>20</v>
      </c>
      <c r="I26" s="12">
        <v>0</v>
      </c>
    </row>
    <row r="27" spans="2:9" ht="15" customHeight="1" x14ac:dyDescent="0.2">
      <c r="B27" t="s">
        <v>151</v>
      </c>
      <c r="C27" s="12">
        <v>1</v>
      </c>
      <c r="D27" s="8">
        <v>8.33</v>
      </c>
      <c r="E27" s="12">
        <v>0</v>
      </c>
      <c r="F27" s="8">
        <v>0</v>
      </c>
      <c r="G27" s="12">
        <v>1</v>
      </c>
      <c r="H27" s="8">
        <v>20</v>
      </c>
      <c r="I27" s="12">
        <v>0</v>
      </c>
    </row>
    <row r="28" spans="2:9" ht="15" customHeight="1" x14ac:dyDescent="0.2">
      <c r="B28" t="s">
        <v>125</v>
      </c>
      <c r="C28" s="12">
        <v>1</v>
      </c>
      <c r="D28" s="8">
        <v>8.33</v>
      </c>
      <c r="E28" s="12">
        <v>0</v>
      </c>
      <c r="F28" s="8">
        <v>0</v>
      </c>
      <c r="G28" s="12">
        <v>1</v>
      </c>
      <c r="H28" s="8">
        <v>20</v>
      </c>
      <c r="I28" s="12">
        <v>0</v>
      </c>
    </row>
    <row r="29" spans="2:9" ht="15" customHeight="1" x14ac:dyDescent="0.2">
      <c r="B29" t="s">
        <v>96</v>
      </c>
      <c r="C29" s="12">
        <v>1</v>
      </c>
      <c r="D29" s="8">
        <v>8.33</v>
      </c>
      <c r="E29" s="12">
        <v>1</v>
      </c>
      <c r="F29" s="8">
        <v>16.670000000000002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132</v>
      </c>
      <c r="C30" s="12">
        <v>1</v>
      </c>
      <c r="D30" s="8">
        <v>8.33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133</v>
      </c>
      <c r="C31" s="12">
        <v>1</v>
      </c>
      <c r="D31" s="8">
        <v>8.33</v>
      </c>
      <c r="E31" s="12">
        <v>0</v>
      </c>
      <c r="F31" s="8">
        <v>0</v>
      </c>
      <c r="G31" s="12">
        <v>1</v>
      </c>
      <c r="H31" s="8">
        <v>20</v>
      </c>
      <c r="I31" s="12">
        <v>0</v>
      </c>
    </row>
    <row r="34" spans="2:9" ht="33" customHeight="1" x14ac:dyDescent="0.2">
      <c r="B34" t="s">
        <v>282</v>
      </c>
      <c r="C34" s="10" t="s">
        <v>81</v>
      </c>
      <c r="D34" s="10" t="s">
        <v>82</v>
      </c>
      <c r="E34" s="10" t="s">
        <v>83</v>
      </c>
      <c r="F34" s="10" t="s">
        <v>84</v>
      </c>
      <c r="G34" s="10" t="s">
        <v>85</v>
      </c>
      <c r="H34" s="10" t="s">
        <v>86</v>
      </c>
      <c r="I34" s="10" t="s">
        <v>87</v>
      </c>
    </row>
    <row r="35" spans="2:9" ht="15" customHeight="1" x14ac:dyDescent="0.2">
      <c r="B35" t="s">
        <v>242</v>
      </c>
      <c r="C35" s="12">
        <v>3</v>
      </c>
      <c r="D35" s="8">
        <v>25</v>
      </c>
      <c r="E35" s="12">
        <v>2</v>
      </c>
      <c r="F35" s="8">
        <v>33.33</v>
      </c>
      <c r="G35" s="12">
        <v>1</v>
      </c>
      <c r="H35" s="8">
        <v>20</v>
      </c>
      <c r="I35" s="12">
        <v>0</v>
      </c>
    </row>
    <row r="36" spans="2:9" ht="15" customHeight="1" x14ac:dyDescent="0.2">
      <c r="B36" t="s">
        <v>169</v>
      </c>
      <c r="C36" s="12">
        <v>2</v>
      </c>
      <c r="D36" s="8">
        <v>16.670000000000002</v>
      </c>
      <c r="E36" s="12">
        <v>2</v>
      </c>
      <c r="F36" s="8">
        <v>33.33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269</v>
      </c>
      <c r="C37" s="12">
        <v>1</v>
      </c>
      <c r="D37" s="8">
        <v>8.33</v>
      </c>
      <c r="E37" s="12">
        <v>0</v>
      </c>
      <c r="F37" s="8">
        <v>0</v>
      </c>
      <c r="G37" s="12">
        <v>1</v>
      </c>
      <c r="H37" s="8">
        <v>20</v>
      </c>
      <c r="I37" s="12">
        <v>0</v>
      </c>
    </row>
    <row r="38" spans="2:9" ht="15" customHeight="1" x14ac:dyDescent="0.2">
      <c r="B38" t="s">
        <v>270</v>
      </c>
      <c r="C38" s="12">
        <v>1</v>
      </c>
      <c r="D38" s="8">
        <v>8.33</v>
      </c>
      <c r="E38" s="12">
        <v>0</v>
      </c>
      <c r="F38" s="8">
        <v>0</v>
      </c>
      <c r="G38" s="12">
        <v>1</v>
      </c>
      <c r="H38" s="8">
        <v>20</v>
      </c>
      <c r="I38" s="12">
        <v>0</v>
      </c>
    </row>
    <row r="39" spans="2:9" ht="15" customHeight="1" x14ac:dyDescent="0.2">
      <c r="B39" t="s">
        <v>271</v>
      </c>
      <c r="C39" s="12">
        <v>1</v>
      </c>
      <c r="D39" s="8">
        <v>8.33</v>
      </c>
      <c r="E39" s="12">
        <v>0</v>
      </c>
      <c r="F39" s="8">
        <v>0</v>
      </c>
      <c r="G39" s="12">
        <v>1</v>
      </c>
      <c r="H39" s="8">
        <v>20</v>
      </c>
      <c r="I39" s="12">
        <v>0</v>
      </c>
    </row>
    <row r="40" spans="2:9" ht="15" customHeight="1" x14ac:dyDescent="0.2">
      <c r="B40" t="s">
        <v>240</v>
      </c>
      <c r="C40" s="12">
        <v>1</v>
      </c>
      <c r="D40" s="8">
        <v>8.33</v>
      </c>
      <c r="E40" s="12">
        <v>1</v>
      </c>
      <c r="F40" s="8">
        <v>16.670000000000002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243</v>
      </c>
      <c r="C41" s="12">
        <v>1</v>
      </c>
      <c r="D41" s="8">
        <v>8.33</v>
      </c>
      <c r="E41" s="12">
        <v>1</v>
      </c>
      <c r="F41" s="8">
        <v>16.670000000000002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222</v>
      </c>
      <c r="C42" s="12">
        <v>1</v>
      </c>
      <c r="D42" s="8">
        <v>8.33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224</v>
      </c>
      <c r="C43" s="12">
        <v>1</v>
      </c>
      <c r="D43" s="8">
        <v>8.33</v>
      </c>
      <c r="E43" s="12">
        <v>0</v>
      </c>
      <c r="F43" s="8">
        <v>0</v>
      </c>
      <c r="G43" s="12">
        <v>1</v>
      </c>
      <c r="H43" s="8">
        <v>20</v>
      </c>
      <c r="I43" s="12">
        <v>0</v>
      </c>
    </row>
    <row r="45" spans="2:9" ht="15" customHeight="1" x14ac:dyDescent="0.2">
      <c r="B45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FA10-6633-4026-810F-0008D1309960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18</v>
      </c>
      <c r="D6" s="8">
        <v>9.42</v>
      </c>
      <c r="E6" s="12">
        <v>2</v>
      </c>
      <c r="F6" s="8">
        <v>1.61</v>
      </c>
      <c r="G6" s="12">
        <v>16</v>
      </c>
      <c r="H6" s="8">
        <v>24.62</v>
      </c>
      <c r="I6" s="12">
        <v>0</v>
      </c>
    </row>
    <row r="7" spans="2:9" ht="15" customHeight="1" x14ac:dyDescent="0.2">
      <c r="B7" t="s">
        <v>67</v>
      </c>
      <c r="C7" s="12">
        <v>8</v>
      </c>
      <c r="D7" s="8">
        <v>4.1900000000000004</v>
      </c>
      <c r="E7" s="12">
        <v>4</v>
      </c>
      <c r="F7" s="8">
        <v>3.23</v>
      </c>
      <c r="G7" s="12">
        <v>4</v>
      </c>
      <c r="H7" s="8">
        <v>6.15</v>
      </c>
      <c r="I7" s="12">
        <v>0</v>
      </c>
    </row>
    <row r="8" spans="2:9" ht="15" customHeight="1" x14ac:dyDescent="0.2">
      <c r="B8" t="s">
        <v>68</v>
      </c>
      <c r="C8" s="12">
        <v>1</v>
      </c>
      <c r="D8" s="8">
        <v>0.52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70</v>
      </c>
      <c r="C10" s="12">
        <v>3</v>
      </c>
      <c r="D10" s="8">
        <v>1.57</v>
      </c>
      <c r="E10" s="12">
        <v>1</v>
      </c>
      <c r="F10" s="8">
        <v>0.81</v>
      </c>
      <c r="G10" s="12">
        <v>2</v>
      </c>
      <c r="H10" s="8">
        <v>3.08</v>
      </c>
      <c r="I10" s="12">
        <v>0</v>
      </c>
    </row>
    <row r="11" spans="2:9" ht="15" customHeight="1" x14ac:dyDescent="0.2">
      <c r="B11" t="s">
        <v>71</v>
      </c>
      <c r="C11" s="12">
        <v>29</v>
      </c>
      <c r="D11" s="8">
        <v>15.18</v>
      </c>
      <c r="E11" s="12">
        <v>19</v>
      </c>
      <c r="F11" s="8">
        <v>15.32</v>
      </c>
      <c r="G11" s="12">
        <v>10</v>
      </c>
      <c r="H11" s="8">
        <v>15.38</v>
      </c>
      <c r="I11" s="12">
        <v>0</v>
      </c>
    </row>
    <row r="12" spans="2:9" ht="15" customHeight="1" x14ac:dyDescent="0.2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73</v>
      </c>
      <c r="C13" s="12">
        <v>20</v>
      </c>
      <c r="D13" s="8">
        <v>10.47</v>
      </c>
      <c r="E13" s="12">
        <v>18</v>
      </c>
      <c r="F13" s="8">
        <v>14.52</v>
      </c>
      <c r="G13" s="12">
        <v>2</v>
      </c>
      <c r="H13" s="8">
        <v>3.08</v>
      </c>
      <c r="I13" s="12">
        <v>0</v>
      </c>
    </row>
    <row r="14" spans="2:9" ht="15" customHeight="1" x14ac:dyDescent="0.2">
      <c r="B14" t="s">
        <v>74</v>
      </c>
      <c r="C14" s="12">
        <v>9</v>
      </c>
      <c r="D14" s="8">
        <v>4.71</v>
      </c>
      <c r="E14" s="12">
        <v>2</v>
      </c>
      <c r="F14" s="8">
        <v>1.61</v>
      </c>
      <c r="G14" s="12">
        <v>6</v>
      </c>
      <c r="H14" s="8">
        <v>9.23</v>
      </c>
      <c r="I14" s="12">
        <v>1</v>
      </c>
    </row>
    <row r="15" spans="2:9" ht="15" customHeight="1" x14ac:dyDescent="0.2">
      <c r="B15" t="s">
        <v>75</v>
      </c>
      <c r="C15" s="12">
        <v>80</v>
      </c>
      <c r="D15" s="8">
        <v>41.88</v>
      </c>
      <c r="E15" s="12">
        <v>65</v>
      </c>
      <c r="F15" s="8">
        <v>52.42</v>
      </c>
      <c r="G15" s="12">
        <v>15</v>
      </c>
      <c r="H15" s="8">
        <v>23.08</v>
      </c>
      <c r="I15" s="12">
        <v>0</v>
      </c>
    </row>
    <row r="16" spans="2:9" ht="15" customHeight="1" x14ac:dyDescent="0.2">
      <c r="B16" t="s">
        <v>76</v>
      </c>
      <c r="C16" s="12">
        <v>16</v>
      </c>
      <c r="D16" s="8">
        <v>8.3800000000000008</v>
      </c>
      <c r="E16" s="12">
        <v>10</v>
      </c>
      <c r="F16" s="8">
        <v>8.06</v>
      </c>
      <c r="G16" s="12">
        <v>6</v>
      </c>
      <c r="H16" s="8">
        <v>9.23</v>
      </c>
      <c r="I16" s="12">
        <v>0</v>
      </c>
    </row>
    <row r="17" spans="2:9" ht="15" customHeight="1" x14ac:dyDescent="0.2">
      <c r="B17" t="s">
        <v>77</v>
      </c>
      <c r="C17" s="12">
        <v>1</v>
      </c>
      <c r="D17" s="8">
        <v>0.52</v>
      </c>
      <c r="E17" s="12">
        <v>1</v>
      </c>
      <c r="F17" s="8">
        <v>0.81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78</v>
      </c>
      <c r="C18" s="12">
        <v>2</v>
      </c>
      <c r="D18" s="8">
        <v>1.05</v>
      </c>
      <c r="E18" s="12">
        <v>2</v>
      </c>
      <c r="F18" s="8">
        <v>1.61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79</v>
      </c>
      <c r="C19" s="12">
        <v>4</v>
      </c>
      <c r="D19" s="8">
        <v>2.09</v>
      </c>
      <c r="E19" s="12">
        <v>0</v>
      </c>
      <c r="F19" s="8">
        <v>0</v>
      </c>
      <c r="G19" s="12">
        <v>4</v>
      </c>
      <c r="H19" s="8">
        <v>6.15</v>
      </c>
      <c r="I19" s="12">
        <v>0</v>
      </c>
    </row>
    <row r="20" spans="2:9" ht="15" customHeight="1" x14ac:dyDescent="0.2">
      <c r="B20" s="9" t="s">
        <v>280</v>
      </c>
      <c r="C20" s="12">
        <f>SUM(LTBL_13421[総数／事業所数])</f>
        <v>191</v>
      </c>
      <c r="E20" s="12">
        <f>SUBTOTAL(109,LTBL_13421[個人／事業所数])</f>
        <v>124</v>
      </c>
      <c r="G20" s="12">
        <f>SUBTOTAL(109,LTBL_13421[法人／事業所数])</f>
        <v>65</v>
      </c>
      <c r="I20" s="12">
        <f>SUBTOTAL(109,LTBL_13421[法人以外の団体／事業所数])</f>
        <v>1</v>
      </c>
    </row>
    <row r="21" spans="2:9" ht="15" customHeight="1" x14ac:dyDescent="0.2">
      <c r="E21" s="11">
        <f>LTBL_13421[[#Totals],[個人／事業所数]]/LTBL_13421[[#Totals],[総数／事業所数]]</f>
        <v>0.64921465968586389</v>
      </c>
      <c r="G21" s="11">
        <f>LTBL_13421[[#Totals],[法人／事業所数]]/LTBL_13421[[#Totals],[総数／事業所数]]</f>
        <v>0.34031413612565448</v>
      </c>
      <c r="I21" s="11">
        <f>LTBL_13421[[#Totals],[法人以外の団体／事業所数]]/LTBL_13421[[#Totals],[総数／事業所数]]</f>
        <v>5.235602094240838E-3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144</v>
      </c>
      <c r="C24" s="12">
        <v>50</v>
      </c>
      <c r="D24" s="8">
        <v>26.18</v>
      </c>
      <c r="E24" s="12">
        <v>41</v>
      </c>
      <c r="F24" s="8">
        <v>33.06</v>
      </c>
      <c r="G24" s="12">
        <v>9</v>
      </c>
      <c r="H24" s="8">
        <v>13.85</v>
      </c>
      <c r="I24" s="12">
        <v>0</v>
      </c>
    </row>
    <row r="25" spans="2:9" ht="15" customHeight="1" x14ac:dyDescent="0.2">
      <c r="B25" t="s">
        <v>103</v>
      </c>
      <c r="C25" s="12">
        <v>26</v>
      </c>
      <c r="D25" s="8">
        <v>13.61</v>
      </c>
      <c r="E25" s="12">
        <v>21</v>
      </c>
      <c r="F25" s="8">
        <v>16.940000000000001</v>
      </c>
      <c r="G25" s="12">
        <v>5</v>
      </c>
      <c r="H25" s="8">
        <v>7.69</v>
      </c>
      <c r="I25" s="12">
        <v>0</v>
      </c>
    </row>
    <row r="26" spans="2:9" ht="15" customHeight="1" x14ac:dyDescent="0.2">
      <c r="B26" t="s">
        <v>100</v>
      </c>
      <c r="C26" s="12">
        <v>20</v>
      </c>
      <c r="D26" s="8">
        <v>10.47</v>
      </c>
      <c r="E26" s="12">
        <v>18</v>
      </c>
      <c r="F26" s="8">
        <v>14.52</v>
      </c>
      <c r="G26" s="12">
        <v>2</v>
      </c>
      <c r="H26" s="8">
        <v>3.08</v>
      </c>
      <c r="I26" s="12">
        <v>0</v>
      </c>
    </row>
    <row r="27" spans="2:9" ht="15" customHeight="1" x14ac:dyDescent="0.2">
      <c r="B27" t="s">
        <v>98</v>
      </c>
      <c r="C27" s="12">
        <v>16</v>
      </c>
      <c r="D27" s="8">
        <v>8.3800000000000008</v>
      </c>
      <c r="E27" s="12">
        <v>10</v>
      </c>
      <c r="F27" s="8">
        <v>8.06</v>
      </c>
      <c r="G27" s="12">
        <v>6</v>
      </c>
      <c r="H27" s="8">
        <v>9.23</v>
      </c>
      <c r="I27" s="12">
        <v>0</v>
      </c>
    </row>
    <row r="28" spans="2:9" ht="15" customHeight="1" x14ac:dyDescent="0.2">
      <c r="B28" t="s">
        <v>88</v>
      </c>
      <c r="C28" s="12">
        <v>8</v>
      </c>
      <c r="D28" s="8">
        <v>4.1900000000000004</v>
      </c>
      <c r="E28" s="12">
        <v>0</v>
      </c>
      <c r="F28" s="8">
        <v>0</v>
      </c>
      <c r="G28" s="12">
        <v>8</v>
      </c>
      <c r="H28" s="8">
        <v>12.31</v>
      </c>
      <c r="I28" s="12">
        <v>0</v>
      </c>
    </row>
    <row r="29" spans="2:9" ht="15" customHeight="1" x14ac:dyDescent="0.2">
      <c r="B29" t="s">
        <v>114</v>
      </c>
      <c r="C29" s="12">
        <v>8</v>
      </c>
      <c r="D29" s="8">
        <v>4.1900000000000004</v>
      </c>
      <c r="E29" s="12">
        <v>3</v>
      </c>
      <c r="F29" s="8">
        <v>2.42</v>
      </c>
      <c r="G29" s="12">
        <v>5</v>
      </c>
      <c r="H29" s="8">
        <v>7.69</v>
      </c>
      <c r="I29" s="12">
        <v>0</v>
      </c>
    </row>
    <row r="30" spans="2:9" ht="15" customHeight="1" x14ac:dyDescent="0.2">
      <c r="B30" t="s">
        <v>90</v>
      </c>
      <c r="C30" s="12">
        <v>6</v>
      </c>
      <c r="D30" s="8">
        <v>3.14</v>
      </c>
      <c r="E30" s="12">
        <v>1</v>
      </c>
      <c r="F30" s="8">
        <v>0.81</v>
      </c>
      <c r="G30" s="12">
        <v>5</v>
      </c>
      <c r="H30" s="8">
        <v>7.69</v>
      </c>
      <c r="I30" s="12">
        <v>0</v>
      </c>
    </row>
    <row r="31" spans="2:9" ht="15" customHeight="1" x14ac:dyDescent="0.2">
      <c r="B31" t="s">
        <v>96</v>
      </c>
      <c r="C31" s="12">
        <v>5</v>
      </c>
      <c r="D31" s="8">
        <v>2.62</v>
      </c>
      <c r="E31" s="12">
        <v>4</v>
      </c>
      <c r="F31" s="8">
        <v>3.23</v>
      </c>
      <c r="G31" s="12">
        <v>1</v>
      </c>
      <c r="H31" s="8">
        <v>1.54</v>
      </c>
      <c r="I31" s="12">
        <v>0</v>
      </c>
    </row>
    <row r="32" spans="2:9" ht="15" customHeight="1" x14ac:dyDescent="0.2">
      <c r="B32" t="s">
        <v>102</v>
      </c>
      <c r="C32" s="12">
        <v>5</v>
      </c>
      <c r="D32" s="8">
        <v>2.62</v>
      </c>
      <c r="E32" s="12">
        <v>1</v>
      </c>
      <c r="F32" s="8">
        <v>0.81</v>
      </c>
      <c r="G32" s="12">
        <v>3</v>
      </c>
      <c r="H32" s="8">
        <v>4.62</v>
      </c>
      <c r="I32" s="12">
        <v>1</v>
      </c>
    </row>
    <row r="33" spans="2:9" ht="15" customHeight="1" x14ac:dyDescent="0.2">
      <c r="B33" t="s">
        <v>115</v>
      </c>
      <c r="C33" s="12">
        <v>5</v>
      </c>
      <c r="D33" s="8">
        <v>2.62</v>
      </c>
      <c r="E33" s="12">
        <v>4</v>
      </c>
      <c r="F33" s="8">
        <v>3.23</v>
      </c>
      <c r="G33" s="12">
        <v>1</v>
      </c>
      <c r="H33" s="8">
        <v>1.54</v>
      </c>
      <c r="I33" s="12">
        <v>0</v>
      </c>
    </row>
    <row r="34" spans="2:9" ht="15" customHeight="1" x14ac:dyDescent="0.2">
      <c r="B34" t="s">
        <v>89</v>
      </c>
      <c r="C34" s="12">
        <v>4</v>
      </c>
      <c r="D34" s="8">
        <v>2.09</v>
      </c>
      <c r="E34" s="12">
        <v>1</v>
      </c>
      <c r="F34" s="8">
        <v>0.81</v>
      </c>
      <c r="G34" s="12">
        <v>3</v>
      </c>
      <c r="H34" s="8">
        <v>4.62</v>
      </c>
      <c r="I34" s="12">
        <v>0</v>
      </c>
    </row>
    <row r="35" spans="2:9" ht="15" customHeight="1" x14ac:dyDescent="0.2">
      <c r="B35" t="s">
        <v>95</v>
      </c>
      <c r="C35" s="12">
        <v>4</v>
      </c>
      <c r="D35" s="8">
        <v>2.09</v>
      </c>
      <c r="E35" s="12">
        <v>4</v>
      </c>
      <c r="F35" s="8">
        <v>3.23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130</v>
      </c>
      <c r="C36" s="12">
        <v>4</v>
      </c>
      <c r="D36" s="8">
        <v>2.09</v>
      </c>
      <c r="E36" s="12">
        <v>3</v>
      </c>
      <c r="F36" s="8">
        <v>2.42</v>
      </c>
      <c r="G36" s="12">
        <v>1</v>
      </c>
      <c r="H36" s="8">
        <v>1.54</v>
      </c>
      <c r="I36" s="12">
        <v>0</v>
      </c>
    </row>
    <row r="37" spans="2:9" ht="15" customHeight="1" x14ac:dyDescent="0.2">
      <c r="B37" t="s">
        <v>152</v>
      </c>
      <c r="C37" s="12">
        <v>3</v>
      </c>
      <c r="D37" s="8">
        <v>1.57</v>
      </c>
      <c r="E37" s="12">
        <v>1</v>
      </c>
      <c r="F37" s="8">
        <v>0.81</v>
      </c>
      <c r="G37" s="12">
        <v>2</v>
      </c>
      <c r="H37" s="8">
        <v>3.08</v>
      </c>
      <c r="I37" s="12">
        <v>0</v>
      </c>
    </row>
    <row r="38" spans="2:9" ht="15" customHeight="1" x14ac:dyDescent="0.2">
      <c r="B38" t="s">
        <v>129</v>
      </c>
      <c r="C38" s="12">
        <v>3</v>
      </c>
      <c r="D38" s="8">
        <v>1.57</v>
      </c>
      <c r="E38" s="12">
        <v>0</v>
      </c>
      <c r="F38" s="8">
        <v>0</v>
      </c>
      <c r="G38" s="12">
        <v>3</v>
      </c>
      <c r="H38" s="8">
        <v>4.62</v>
      </c>
      <c r="I38" s="12">
        <v>0</v>
      </c>
    </row>
    <row r="39" spans="2:9" ht="15" customHeight="1" x14ac:dyDescent="0.2">
      <c r="B39" t="s">
        <v>143</v>
      </c>
      <c r="C39" s="12">
        <v>3</v>
      </c>
      <c r="D39" s="8">
        <v>1.57</v>
      </c>
      <c r="E39" s="12">
        <v>0</v>
      </c>
      <c r="F39" s="8">
        <v>0</v>
      </c>
      <c r="G39" s="12">
        <v>3</v>
      </c>
      <c r="H39" s="8">
        <v>4.62</v>
      </c>
      <c r="I39" s="12">
        <v>0</v>
      </c>
    </row>
    <row r="40" spans="2:9" ht="15" customHeight="1" x14ac:dyDescent="0.2">
      <c r="B40" t="s">
        <v>104</v>
      </c>
      <c r="C40" s="12">
        <v>3</v>
      </c>
      <c r="D40" s="8">
        <v>1.57</v>
      </c>
      <c r="E40" s="12">
        <v>3</v>
      </c>
      <c r="F40" s="8">
        <v>2.42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138</v>
      </c>
      <c r="C41" s="12">
        <v>2</v>
      </c>
      <c r="D41" s="8">
        <v>1.05</v>
      </c>
      <c r="E41" s="12">
        <v>1</v>
      </c>
      <c r="F41" s="8">
        <v>0.81</v>
      </c>
      <c r="G41" s="12">
        <v>1</v>
      </c>
      <c r="H41" s="8">
        <v>1.54</v>
      </c>
      <c r="I41" s="12">
        <v>0</v>
      </c>
    </row>
    <row r="42" spans="2:9" ht="15" customHeight="1" x14ac:dyDescent="0.2">
      <c r="B42" t="s">
        <v>125</v>
      </c>
      <c r="C42" s="12">
        <v>2</v>
      </c>
      <c r="D42" s="8">
        <v>1.05</v>
      </c>
      <c r="E42" s="12">
        <v>1</v>
      </c>
      <c r="F42" s="8">
        <v>0.81</v>
      </c>
      <c r="G42" s="12">
        <v>1</v>
      </c>
      <c r="H42" s="8">
        <v>1.54</v>
      </c>
      <c r="I42" s="12">
        <v>0</v>
      </c>
    </row>
    <row r="43" spans="2:9" ht="15" customHeight="1" x14ac:dyDescent="0.2">
      <c r="B43" t="s">
        <v>106</v>
      </c>
      <c r="C43" s="12">
        <v>2</v>
      </c>
      <c r="D43" s="8">
        <v>1.05</v>
      </c>
      <c r="E43" s="12">
        <v>2</v>
      </c>
      <c r="F43" s="8">
        <v>1.61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131</v>
      </c>
      <c r="C44" s="12">
        <v>2</v>
      </c>
      <c r="D44" s="8">
        <v>1.05</v>
      </c>
      <c r="E44" s="12">
        <v>0</v>
      </c>
      <c r="F44" s="8">
        <v>0</v>
      </c>
      <c r="G44" s="12">
        <v>2</v>
      </c>
      <c r="H44" s="8">
        <v>3.08</v>
      </c>
      <c r="I44" s="12">
        <v>0</v>
      </c>
    </row>
    <row r="45" spans="2:9" ht="15" customHeight="1" x14ac:dyDescent="0.2">
      <c r="B45" t="s">
        <v>107</v>
      </c>
      <c r="C45" s="12">
        <v>2</v>
      </c>
      <c r="D45" s="8">
        <v>1.05</v>
      </c>
      <c r="E45" s="12">
        <v>0</v>
      </c>
      <c r="F45" s="8">
        <v>0</v>
      </c>
      <c r="G45" s="12">
        <v>2</v>
      </c>
      <c r="H45" s="8">
        <v>3.08</v>
      </c>
      <c r="I45" s="12">
        <v>0</v>
      </c>
    </row>
    <row r="48" spans="2:9" ht="33" customHeight="1" x14ac:dyDescent="0.2">
      <c r="B48" t="s">
        <v>282</v>
      </c>
      <c r="C48" s="10" t="s">
        <v>81</v>
      </c>
      <c r="D48" s="10" t="s">
        <v>82</v>
      </c>
      <c r="E48" s="10" t="s">
        <v>83</v>
      </c>
      <c r="F48" s="10" t="s">
        <v>84</v>
      </c>
      <c r="G48" s="10" t="s">
        <v>85</v>
      </c>
      <c r="H48" s="10" t="s">
        <v>86</v>
      </c>
      <c r="I48" s="10" t="s">
        <v>87</v>
      </c>
    </row>
    <row r="49" spans="2:9" ht="15" customHeight="1" x14ac:dyDescent="0.2">
      <c r="B49" t="s">
        <v>242</v>
      </c>
      <c r="C49" s="12">
        <v>30</v>
      </c>
      <c r="D49" s="8">
        <v>15.71</v>
      </c>
      <c r="E49" s="12">
        <v>25</v>
      </c>
      <c r="F49" s="8">
        <v>20.16</v>
      </c>
      <c r="G49" s="12">
        <v>5</v>
      </c>
      <c r="H49" s="8">
        <v>7.69</v>
      </c>
      <c r="I49" s="12">
        <v>0</v>
      </c>
    </row>
    <row r="50" spans="2:9" ht="15" customHeight="1" x14ac:dyDescent="0.2">
      <c r="B50" t="s">
        <v>162</v>
      </c>
      <c r="C50" s="12">
        <v>19</v>
      </c>
      <c r="D50" s="8">
        <v>9.9499999999999993</v>
      </c>
      <c r="E50" s="12">
        <v>18</v>
      </c>
      <c r="F50" s="8">
        <v>14.52</v>
      </c>
      <c r="G50" s="12">
        <v>1</v>
      </c>
      <c r="H50" s="8">
        <v>1.54</v>
      </c>
      <c r="I50" s="12">
        <v>0</v>
      </c>
    </row>
    <row r="51" spans="2:9" ht="15" customHeight="1" x14ac:dyDescent="0.2">
      <c r="B51" t="s">
        <v>243</v>
      </c>
      <c r="C51" s="12">
        <v>19</v>
      </c>
      <c r="D51" s="8">
        <v>9.9499999999999993</v>
      </c>
      <c r="E51" s="12">
        <v>15</v>
      </c>
      <c r="F51" s="8">
        <v>12.1</v>
      </c>
      <c r="G51" s="12">
        <v>4</v>
      </c>
      <c r="H51" s="8">
        <v>6.15</v>
      </c>
      <c r="I51" s="12">
        <v>0</v>
      </c>
    </row>
    <row r="52" spans="2:9" ht="15" customHeight="1" x14ac:dyDescent="0.2">
      <c r="B52" t="s">
        <v>159</v>
      </c>
      <c r="C52" s="12">
        <v>9</v>
      </c>
      <c r="D52" s="8">
        <v>4.71</v>
      </c>
      <c r="E52" s="12">
        <v>6</v>
      </c>
      <c r="F52" s="8">
        <v>4.84</v>
      </c>
      <c r="G52" s="12">
        <v>3</v>
      </c>
      <c r="H52" s="8">
        <v>4.62</v>
      </c>
      <c r="I52" s="12">
        <v>0</v>
      </c>
    </row>
    <row r="53" spans="2:9" ht="15" customHeight="1" x14ac:dyDescent="0.2">
      <c r="B53" t="s">
        <v>169</v>
      </c>
      <c r="C53" s="12">
        <v>7</v>
      </c>
      <c r="D53" s="8">
        <v>3.66</v>
      </c>
      <c r="E53" s="12">
        <v>7</v>
      </c>
      <c r="F53" s="8">
        <v>5.65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248</v>
      </c>
      <c r="C54" s="12">
        <v>6</v>
      </c>
      <c r="D54" s="8">
        <v>3.14</v>
      </c>
      <c r="E54" s="12">
        <v>3</v>
      </c>
      <c r="F54" s="8">
        <v>2.42</v>
      </c>
      <c r="G54" s="12">
        <v>3</v>
      </c>
      <c r="H54" s="8">
        <v>4.62</v>
      </c>
      <c r="I54" s="12">
        <v>0</v>
      </c>
    </row>
    <row r="55" spans="2:9" ht="15" customHeight="1" x14ac:dyDescent="0.2">
      <c r="B55" t="s">
        <v>216</v>
      </c>
      <c r="C55" s="12">
        <v>5</v>
      </c>
      <c r="D55" s="8">
        <v>2.62</v>
      </c>
      <c r="E55" s="12">
        <v>3</v>
      </c>
      <c r="F55" s="8">
        <v>2.42</v>
      </c>
      <c r="G55" s="12">
        <v>2</v>
      </c>
      <c r="H55" s="8">
        <v>3.08</v>
      </c>
      <c r="I55" s="12">
        <v>0</v>
      </c>
    </row>
    <row r="56" spans="2:9" ht="15" customHeight="1" x14ac:dyDescent="0.2">
      <c r="B56" t="s">
        <v>219</v>
      </c>
      <c r="C56" s="12">
        <v>5</v>
      </c>
      <c r="D56" s="8">
        <v>2.62</v>
      </c>
      <c r="E56" s="12">
        <v>4</v>
      </c>
      <c r="F56" s="8">
        <v>3.23</v>
      </c>
      <c r="G56" s="12">
        <v>1</v>
      </c>
      <c r="H56" s="8">
        <v>1.54</v>
      </c>
      <c r="I56" s="12">
        <v>0</v>
      </c>
    </row>
    <row r="57" spans="2:9" ht="15" customHeight="1" x14ac:dyDescent="0.2">
      <c r="B57" t="s">
        <v>167</v>
      </c>
      <c r="C57" s="12">
        <v>4</v>
      </c>
      <c r="D57" s="8">
        <v>2.09</v>
      </c>
      <c r="E57" s="12">
        <v>1</v>
      </c>
      <c r="F57" s="8">
        <v>0.81</v>
      </c>
      <c r="G57" s="12">
        <v>3</v>
      </c>
      <c r="H57" s="8">
        <v>4.62</v>
      </c>
      <c r="I57" s="12">
        <v>0</v>
      </c>
    </row>
    <row r="58" spans="2:9" ht="15" customHeight="1" x14ac:dyDescent="0.2">
      <c r="B58" t="s">
        <v>191</v>
      </c>
      <c r="C58" s="12">
        <v>4</v>
      </c>
      <c r="D58" s="8">
        <v>2.09</v>
      </c>
      <c r="E58" s="12">
        <v>3</v>
      </c>
      <c r="F58" s="8">
        <v>2.42</v>
      </c>
      <c r="G58" s="12">
        <v>1</v>
      </c>
      <c r="H58" s="8">
        <v>1.54</v>
      </c>
      <c r="I58" s="12">
        <v>0</v>
      </c>
    </row>
    <row r="59" spans="2:9" ht="15" customHeight="1" x14ac:dyDescent="0.2">
      <c r="B59" t="s">
        <v>220</v>
      </c>
      <c r="C59" s="12">
        <v>3</v>
      </c>
      <c r="D59" s="8">
        <v>1.57</v>
      </c>
      <c r="E59" s="12">
        <v>0</v>
      </c>
      <c r="F59" s="8">
        <v>0</v>
      </c>
      <c r="G59" s="12">
        <v>3</v>
      </c>
      <c r="H59" s="8">
        <v>4.62</v>
      </c>
      <c r="I59" s="12">
        <v>0</v>
      </c>
    </row>
    <row r="60" spans="2:9" ht="15" customHeight="1" x14ac:dyDescent="0.2">
      <c r="B60" t="s">
        <v>192</v>
      </c>
      <c r="C60" s="12">
        <v>3</v>
      </c>
      <c r="D60" s="8">
        <v>1.57</v>
      </c>
      <c r="E60" s="12">
        <v>1</v>
      </c>
      <c r="F60" s="8">
        <v>0.81</v>
      </c>
      <c r="G60" s="12">
        <v>2</v>
      </c>
      <c r="H60" s="8">
        <v>3.08</v>
      </c>
      <c r="I60" s="12">
        <v>0</v>
      </c>
    </row>
    <row r="61" spans="2:9" ht="15" customHeight="1" x14ac:dyDescent="0.2">
      <c r="B61" t="s">
        <v>263</v>
      </c>
      <c r="C61" s="12">
        <v>3</v>
      </c>
      <c r="D61" s="8">
        <v>1.57</v>
      </c>
      <c r="E61" s="12">
        <v>1</v>
      </c>
      <c r="F61" s="8">
        <v>0.81</v>
      </c>
      <c r="G61" s="12">
        <v>2</v>
      </c>
      <c r="H61" s="8">
        <v>3.08</v>
      </c>
      <c r="I61" s="12">
        <v>0</v>
      </c>
    </row>
    <row r="62" spans="2:9" ht="15" customHeight="1" x14ac:dyDescent="0.2">
      <c r="B62" t="s">
        <v>274</v>
      </c>
      <c r="C62" s="12">
        <v>3</v>
      </c>
      <c r="D62" s="8">
        <v>1.57</v>
      </c>
      <c r="E62" s="12">
        <v>0</v>
      </c>
      <c r="F62" s="8">
        <v>0</v>
      </c>
      <c r="G62" s="12">
        <v>3</v>
      </c>
      <c r="H62" s="8">
        <v>4.62</v>
      </c>
      <c r="I62" s="12">
        <v>0</v>
      </c>
    </row>
    <row r="63" spans="2:9" ht="15" customHeight="1" x14ac:dyDescent="0.2">
      <c r="B63" t="s">
        <v>168</v>
      </c>
      <c r="C63" s="12">
        <v>3</v>
      </c>
      <c r="D63" s="8">
        <v>1.57</v>
      </c>
      <c r="E63" s="12">
        <v>2</v>
      </c>
      <c r="F63" s="8">
        <v>1.61</v>
      </c>
      <c r="G63" s="12">
        <v>1</v>
      </c>
      <c r="H63" s="8">
        <v>1.54</v>
      </c>
      <c r="I63" s="12">
        <v>0</v>
      </c>
    </row>
    <row r="64" spans="2:9" ht="15" customHeight="1" x14ac:dyDescent="0.2">
      <c r="B64" t="s">
        <v>217</v>
      </c>
      <c r="C64" s="12">
        <v>3</v>
      </c>
      <c r="D64" s="8">
        <v>1.57</v>
      </c>
      <c r="E64" s="12">
        <v>2</v>
      </c>
      <c r="F64" s="8">
        <v>1.61</v>
      </c>
      <c r="G64" s="12">
        <v>1</v>
      </c>
      <c r="H64" s="8">
        <v>1.54</v>
      </c>
      <c r="I64" s="12">
        <v>0</v>
      </c>
    </row>
    <row r="65" spans="2:9" ht="15" customHeight="1" x14ac:dyDescent="0.2">
      <c r="B65" t="s">
        <v>170</v>
      </c>
      <c r="C65" s="12">
        <v>3</v>
      </c>
      <c r="D65" s="8">
        <v>1.57</v>
      </c>
      <c r="E65" s="12">
        <v>3</v>
      </c>
      <c r="F65" s="8">
        <v>2.42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267</v>
      </c>
      <c r="C66" s="12">
        <v>3</v>
      </c>
      <c r="D66" s="8">
        <v>1.57</v>
      </c>
      <c r="E66" s="12">
        <v>3</v>
      </c>
      <c r="F66" s="8">
        <v>2.42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272</v>
      </c>
      <c r="C67" s="12">
        <v>2</v>
      </c>
      <c r="D67" s="8">
        <v>1.05</v>
      </c>
      <c r="E67" s="12">
        <v>0</v>
      </c>
      <c r="F67" s="8">
        <v>0</v>
      </c>
      <c r="G67" s="12">
        <v>2</v>
      </c>
      <c r="H67" s="8">
        <v>3.08</v>
      </c>
      <c r="I67" s="12">
        <v>0</v>
      </c>
    </row>
    <row r="68" spans="2:9" ht="15" customHeight="1" x14ac:dyDescent="0.2">
      <c r="B68" t="s">
        <v>195</v>
      </c>
      <c r="C68" s="12">
        <v>2</v>
      </c>
      <c r="D68" s="8">
        <v>1.05</v>
      </c>
      <c r="E68" s="12">
        <v>1</v>
      </c>
      <c r="F68" s="8">
        <v>0.81</v>
      </c>
      <c r="G68" s="12">
        <v>1</v>
      </c>
      <c r="H68" s="8">
        <v>1.54</v>
      </c>
      <c r="I68" s="12">
        <v>0</v>
      </c>
    </row>
    <row r="69" spans="2:9" ht="15" customHeight="1" x14ac:dyDescent="0.2">
      <c r="B69" t="s">
        <v>201</v>
      </c>
      <c r="C69" s="12">
        <v>2</v>
      </c>
      <c r="D69" s="8">
        <v>1.05</v>
      </c>
      <c r="E69" s="12">
        <v>0</v>
      </c>
      <c r="F69" s="8">
        <v>0</v>
      </c>
      <c r="G69" s="12">
        <v>2</v>
      </c>
      <c r="H69" s="8">
        <v>3.08</v>
      </c>
      <c r="I69" s="12">
        <v>0</v>
      </c>
    </row>
    <row r="70" spans="2:9" ht="15" customHeight="1" x14ac:dyDescent="0.2">
      <c r="B70" t="s">
        <v>271</v>
      </c>
      <c r="C70" s="12">
        <v>2</v>
      </c>
      <c r="D70" s="8">
        <v>1.05</v>
      </c>
      <c r="E70" s="12">
        <v>1</v>
      </c>
      <c r="F70" s="8">
        <v>0.81</v>
      </c>
      <c r="G70" s="12">
        <v>1</v>
      </c>
      <c r="H70" s="8">
        <v>1.54</v>
      </c>
      <c r="I70" s="12">
        <v>0</v>
      </c>
    </row>
    <row r="71" spans="2:9" ht="15" customHeight="1" x14ac:dyDescent="0.2">
      <c r="B71" t="s">
        <v>266</v>
      </c>
      <c r="C71" s="12">
        <v>2</v>
      </c>
      <c r="D71" s="8">
        <v>1.05</v>
      </c>
      <c r="E71" s="12">
        <v>0</v>
      </c>
      <c r="F71" s="8">
        <v>0</v>
      </c>
      <c r="G71" s="12">
        <v>2</v>
      </c>
      <c r="H71" s="8">
        <v>3.08</v>
      </c>
      <c r="I71" s="12">
        <v>0</v>
      </c>
    </row>
    <row r="72" spans="2:9" ht="15" customHeight="1" x14ac:dyDescent="0.2">
      <c r="B72" t="s">
        <v>190</v>
      </c>
      <c r="C72" s="12">
        <v>2</v>
      </c>
      <c r="D72" s="8">
        <v>1.05</v>
      </c>
      <c r="E72" s="12">
        <v>2</v>
      </c>
      <c r="F72" s="8">
        <v>1.61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205</v>
      </c>
      <c r="C73" s="12">
        <v>2</v>
      </c>
      <c r="D73" s="8">
        <v>1.05</v>
      </c>
      <c r="E73" s="12">
        <v>2</v>
      </c>
      <c r="F73" s="8">
        <v>1.61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158</v>
      </c>
      <c r="C74" s="12">
        <v>2</v>
      </c>
      <c r="D74" s="8">
        <v>1.05</v>
      </c>
      <c r="E74" s="12">
        <v>2</v>
      </c>
      <c r="F74" s="8">
        <v>1.61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198</v>
      </c>
      <c r="C75" s="12">
        <v>2</v>
      </c>
      <c r="D75" s="8">
        <v>1.05</v>
      </c>
      <c r="E75" s="12">
        <v>1</v>
      </c>
      <c r="F75" s="8">
        <v>0.81</v>
      </c>
      <c r="G75" s="12">
        <v>1</v>
      </c>
      <c r="H75" s="8">
        <v>1.54</v>
      </c>
      <c r="I75" s="12">
        <v>0</v>
      </c>
    </row>
    <row r="76" spans="2:9" ht="15" customHeight="1" x14ac:dyDescent="0.2">
      <c r="B76" t="s">
        <v>273</v>
      </c>
      <c r="C76" s="12">
        <v>2</v>
      </c>
      <c r="D76" s="8">
        <v>1.05</v>
      </c>
      <c r="E76" s="12">
        <v>0</v>
      </c>
      <c r="F76" s="8">
        <v>0</v>
      </c>
      <c r="G76" s="12">
        <v>2</v>
      </c>
      <c r="H76" s="8">
        <v>3.08</v>
      </c>
      <c r="I76" s="12">
        <v>0</v>
      </c>
    </row>
    <row r="77" spans="2:9" ht="15" customHeight="1" x14ac:dyDescent="0.2">
      <c r="B77" t="s">
        <v>275</v>
      </c>
      <c r="C77" s="12">
        <v>2</v>
      </c>
      <c r="D77" s="8">
        <v>1.05</v>
      </c>
      <c r="E77" s="12">
        <v>0</v>
      </c>
      <c r="F77" s="8">
        <v>0</v>
      </c>
      <c r="G77" s="12">
        <v>2</v>
      </c>
      <c r="H77" s="8">
        <v>3.08</v>
      </c>
      <c r="I77" s="12">
        <v>0</v>
      </c>
    </row>
    <row r="78" spans="2:9" ht="15" customHeight="1" x14ac:dyDescent="0.2">
      <c r="B78" t="s">
        <v>276</v>
      </c>
      <c r="C78" s="12">
        <v>2</v>
      </c>
      <c r="D78" s="8">
        <v>1.05</v>
      </c>
      <c r="E78" s="12">
        <v>0</v>
      </c>
      <c r="F78" s="8">
        <v>0</v>
      </c>
      <c r="G78" s="12">
        <v>2</v>
      </c>
      <c r="H78" s="8">
        <v>3.08</v>
      </c>
      <c r="I78" s="12">
        <v>0</v>
      </c>
    </row>
    <row r="80" spans="2:9" ht="15" customHeight="1" x14ac:dyDescent="0.2">
      <c r="B80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A2C4-A32D-4795-B43F-36C25951D60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66</v>
      </c>
      <c r="C6" s="12">
        <v>491</v>
      </c>
      <c r="D6" s="8">
        <v>3.63</v>
      </c>
      <c r="E6" s="12">
        <v>4</v>
      </c>
      <c r="F6" s="8">
        <v>0.15</v>
      </c>
      <c r="G6" s="12">
        <v>486</v>
      </c>
      <c r="H6" s="8">
        <v>4.5</v>
      </c>
      <c r="I6" s="12">
        <v>1</v>
      </c>
    </row>
    <row r="7" spans="2:9" ht="15" customHeight="1" x14ac:dyDescent="0.2">
      <c r="B7" t="s">
        <v>67</v>
      </c>
      <c r="C7" s="12">
        <v>731</v>
      </c>
      <c r="D7" s="8">
        <v>5.4</v>
      </c>
      <c r="E7" s="12">
        <v>28</v>
      </c>
      <c r="F7" s="8">
        <v>1.04</v>
      </c>
      <c r="G7" s="12">
        <v>702</v>
      </c>
      <c r="H7" s="8">
        <v>6.5</v>
      </c>
      <c r="I7" s="12">
        <v>1</v>
      </c>
    </row>
    <row r="8" spans="2:9" ht="15" customHeight="1" x14ac:dyDescent="0.2">
      <c r="B8" t="s">
        <v>68</v>
      </c>
      <c r="C8" s="12">
        <v>64</v>
      </c>
      <c r="D8" s="8">
        <v>0.47</v>
      </c>
      <c r="E8" s="12">
        <v>0</v>
      </c>
      <c r="F8" s="8">
        <v>0</v>
      </c>
      <c r="G8" s="12">
        <v>63</v>
      </c>
      <c r="H8" s="8">
        <v>0.57999999999999996</v>
      </c>
      <c r="I8" s="12">
        <v>1</v>
      </c>
    </row>
    <row r="9" spans="2:9" ht="15" customHeight="1" x14ac:dyDescent="0.2">
      <c r="B9" t="s">
        <v>69</v>
      </c>
      <c r="C9" s="12">
        <v>1124</v>
      </c>
      <c r="D9" s="8">
        <v>8.31</v>
      </c>
      <c r="E9" s="12">
        <v>22</v>
      </c>
      <c r="F9" s="8">
        <v>0.82</v>
      </c>
      <c r="G9" s="12">
        <v>1097</v>
      </c>
      <c r="H9" s="8">
        <v>10.16</v>
      </c>
      <c r="I9" s="12">
        <v>5</v>
      </c>
    </row>
    <row r="10" spans="2:9" ht="15" customHeight="1" x14ac:dyDescent="0.2">
      <c r="B10" t="s">
        <v>70</v>
      </c>
      <c r="C10" s="12">
        <v>178</v>
      </c>
      <c r="D10" s="8">
        <v>1.32</v>
      </c>
      <c r="E10" s="12">
        <v>0</v>
      </c>
      <c r="F10" s="8">
        <v>0</v>
      </c>
      <c r="G10" s="12">
        <v>178</v>
      </c>
      <c r="H10" s="8">
        <v>1.65</v>
      </c>
      <c r="I10" s="12">
        <v>0</v>
      </c>
    </row>
    <row r="11" spans="2:9" ht="15" customHeight="1" x14ac:dyDescent="0.2">
      <c r="B11" t="s">
        <v>71</v>
      </c>
      <c r="C11" s="12">
        <v>2938</v>
      </c>
      <c r="D11" s="8">
        <v>21.71</v>
      </c>
      <c r="E11" s="12">
        <v>212</v>
      </c>
      <c r="F11" s="8">
        <v>7.89</v>
      </c>
      <c r="G11" s="12">
        <v>2724</v>
      </c>
      <c r="H11" s="8">
        <v>25.23</v>
      </c>
      <c r="I11" s="12">
        <v>2</v>
      </c>
    </row>
    <row r="12" spans="2:9" ht="15" customHeight="1" x14ac:dyDescent="0.2">
      <c r="B12" t="s">
        <v>72</v>
      </c>
      <c r="C12" s="12">
        <v>202</v>
      </c>
      <c r="D12" s="8">
        <v>1.49</v>
      </c>
      <c r="E12" s="12">
        <v>4</v>
      </c>
      <c r="F12" s="8">
        <v>0.15</v>
      </c>
      <c r="G12" s="12">
        <v>197</v>
      </c>
      <c r="H12" s="8">
        <v>1.82</v>
      </c>
      <c r="I12" s="12">
        <v>1</v>
      </c>
    </row>
    <row r="13" spans="2:9" ht="15" customHeight="1" x14ac:dyDescent="0.2">
      <c r="B13" t="s">
        <v>73</v>
      </c>
      <c r="C13" s="12">
        <v>1861</v>
      </c>
      <c r="D13" s="8">
        <v>13.75</v>
      </c>
      <c r="E13" s="12">
        <v>200</v>
      </c>
      <c r="F13" s="8">
        <v>7.44</v>
      </c>
      <c r="G13" s="12">
        <v>1659</v>
      </c>
      <c r="H13" s="8">
        <v>15.36</v>
      </c>
      <c r="I13" s="12">
        <v>2</v>
      </c>
    </row>
    <row r="14" spans="2:9" ht="15" customHeight="1" x14ac:dyDescent="0.2">
      <c r="B14" t="s">
        <v>74</v>
      </c>
      <c r="C14" s="12">
        <v>3134</v>
      </c>
      <c r="D14" s="8">
        <v>23.16</v>
      </c>
      <c r="E14" s="12">
        <v>1466</v>
      </c>
      <c r="F14" s="8">
        <v>54.56</v>
      </c>
      <c r="G14" s="12">
        <v>1659</v>
      </c>
      <c r="H14" s="8">
        <v>15.36</v>
      </c>
      <c r="I14" s="12">
        <v>8</v>
      </c>
    </row>
    <row r="15" spans="2:9" ht="15" customHeight="1" x14ac:dyDescent="0.2">
      <c r="B15" t="s">
        <v>75</v>
      </c>
      <c r="C15" s="12">
        <v>1038</v>
      </c>
      <c r="D15" s="8">
        <v>7.67</v>
      </c>
      <c r="E15" s="12">
        <v>411</v>
      </c>
      <c r="F15" s="8">
        <v>15.3</v>
      </c>
      <c r="G15" s="12">
        <v>625</v>
      </c>
      <c r="H15" s="8">
        <v>5.79</v>
      </c>
      <c r="I15" s="12">
        <v>1</v>
      </c>
    </row>
    <row r="16" spans="2:9" ht="15" customHeight="1" x14ac:dyDescent="0.2">
      <c r="B16" t="s">
        <v>76</v>
      </c>
      <c r="C16" s="12">
        <v>436</v>
      </c>
      <c r="D16" s="8">
        <v>3.22</v>
      </c>
      <c r="E16" s="12">
        <v>103</v>
      </c>
      <c r="F16" s="8">
        <v>3.83</v>
      </c>
      <c r="G16" s="12">
        <v>329</v>
      </c>
      <c r="H16" s="8">
        <v>3.05</v>
      </c>
      <c r="I16" s="12">
        <v>1</v>
      </c>
    </row>
    <row r="17" spans="2:9" ht="15" customHeight="1" x14ac:dyDescent="0.2">
      <c r="B17" t="s">
        <v>77</v>
      </c>
      <c r="C17" s="12">
        <v>250</v>
      </c>
      <c r="D17" s="8">
        <v>1.85</v>
      </c>
      <c r="E17" s="12">
        <v>33</v>
      </c>
      <c r="F17" s="8">
        <v>1.23</v>
      </c>
      <c r="G17" s="12">
        <v>207</v>
      </c>
      <c r="H17" s="8">
        <v>1.92</v>
      </c>
      <c r="I17" s="12">
        <v>4</v>
      </c>
    </row>
    <row r="18" spans="2:9" ht="15" customHeight="1" x14ac:dyDescent="0.2">
      <c r="B18" t="s">
        <v>78</v>
      </c>
      <c r="C18" s="12">
        <v>353</v>
      </c>
      <c r="D18" s="8">
        <v>2.61</v>
      </c>
      <c r="E18" s="12">
        <v>187</v>
      </c>
      <c r="F18" s="8">
        <v>6.96</v>
      </c>
      <c r="G18" s="12">
        <v>165</v>
      </c>
      <c r="H18" s="8">
        <v>1.53</v>
      </c>
      <c r="I18" s="12">
        <v>0</v>
      </c>
    </row>
    <row r="19" spans="2:9" ht="15" customHeight="1" x14ac:dyDescent="0.2">
      <c r="B19" t="s">
        <v>79</v>
      </c>
      <c r="C19" s="12">
        <v>733</v>
      </c>
      <c r="D19" s="8">
        <v>5.42</v>
      </c>
      <c r="E19" s="12">
        <v>17</v>
      </c>
      <c r="F19" s="8">
        <v>0.63</v>
      </c>
      <c r="G19" s="12">
        <v>706</v>
      </c>
      <c r="H19" s="8">
        <v>6.54</v>
      </c>
      <c r="I19" s="12">
        <v>9</v>
      </c>
    </row>
    <row r="20" spans="2:9" ht="15" customHeight="1" x14ac:dyDescent="0.2">
      <c r="B20" s="9" t="s">
        <v>280</v>
      </c>
      <c r="C20" s="12">
        <f>SUM(LTBL_13101[総数／事業所数])</f>
        <v>13534</v>
      </c>
      <c r="E20" s="12">
        <f>SUBTOTAL(109,LTBL_13101[個人／事業所数])</f>
        <v>2687</v>
      </c>
      <c r="G20" s="12">
        <f>SUBTOTAL(109,LTBL_13101[法人／事業所数])</f>
        <v>10798</v>
      </c>
      <c r="I20" s="12">
        <f>SUBTOTAL(109,LTBL_13101[法人以外の団体／事業所数])</f>
        <v>36</v>
      </c>
    </row>
    <row r="21" spans="2:9" ht="15" customHeight="1" x14ac:dyDescent="0.2">
      <c r="E21" s="11">
        <f>LTBL_13101[[#Totals],[個人／事業所数]]/LTBL_13101[[#Totals],[総数／事業所数]]</f>
        <v>0.19853701788089256</v>
      </c>
      <c r="G21" s="11">
        <f>LTBL_13101[[#Totals],[法人／事業所数]]/LTBL_13101[[#Totals],[総数／事業所数]]</f>
        <v>0.79784247081424564</v>
      </c>
      <c r="I21" s="11">
        <f>LTBL_13101[[#Totals],[法人以外の団体／事業所数]]/LTBL_13101[[#Totals],[総数／事業所数]]</f>
        <v>2.6599674892862422E-3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101</v>
      </c>
      <c r="C24" s="12">
        <v>2589</v>
      </c>
      <c r="D24" s="8">
        <v>19.13</v>
      </c>
      <c r="E24" s="12">
        <v>1427</v>
      </c>
      <c r="F24" s="8">
        <v>53.11</v>
      </c>
      <c r="G24" s="12">
        <v>1159</v>
      </c>
      <c r="H24" s="8">
        <v>10.73</v>
      </c>
      <c r="I24" s="12">
        <v>3</v>
      </c>
    </row>
    <row r="25" spans="2:9" ht="15" customHeight="1" x14ac:dyDescent="0.2">
      <c r="B25" t="s">
        <v>100</v>
      </c>
      <c r="C25" s="12">
        <v>1415</v>
      </c>
      <c r="D25" s="8">
        <v>10.46</v>
      </c>
      <c r="E25" s="12">
        <v>195</v>
      </c>
      <c r="F25" s="8">
        <v>7.26</v>
      </c>
      <c r="G25" s="12">
        <v>1218</v>
      </c>
      <c r="H25" s="8">
        <v>11.28</v>
      </c>
      <c r="I25" s="12">
        <v>2</v>
      </c>
    </row>
    <row r="26" spans="2:9" ht="15" customHeight="1" x14ac:dyDescent="0.2">
      <c r="B26" t="s">
        <v>103</v>
      </c>
      <c r="C26" s="12">
        <v>970</v>
      </c>
      <c r="D26" s="8">
        <v>7.17</v>
      </c>
      <c r="E26" s="12">
        <v>409</v>
      </c>
      <c r="F26" s="8">
        <v>15.22</v>
      </c>
      <c r="G26" s="12">
        <v>560</v>
      </c>
      <c r="H26" s="8">
        <v>5.19</v>
      </c>
      <c r="I26" s="12">
        <v>1</v>
      </c>
    </row>
    <row r="27" spans="2:9" ht="15" customHeight="1" x14ac:dyDescent="0.2">
      <c r="B27" t="s">
        <v>98</v>
      </c>
      <c r="C27" s="12">
        <v>582</v>
      </c>
      <c r="D27" s="8">
        <v>4.3</v>
      </c>
      <c r="E27" s="12">
        <v>105</v>
      </c>
      <c r="F27" s="8">
        <v>3.91</v>
      </c>
      <c r="G27" s="12">
        <v>477</v>
      </c>
      <c r="H27" s="8">
        <v>4.42</v>
      </c>
      <c r="I27" s="12">
        <v>0</v>
      </c>
    </row>
    <row r="28" spans="2:9" ht="15" customHeight="1" x14ac:dyDescent="0.2">
      <c r="B28" t="s">
        <v>107</v>
      </c>
      <c r="C28" s="12">
        <v>544</v>
      </c>
      <c r="D28" s="8">
        <v>4.0199999999999996</v>
      </c>
      <c r="E28" s="12">
        <v>7</v>
      </c>
      <c r="F28" s="8">
        <v>0.26</v>
      </c>
      <c r="G28" s="12">
        <v>529</v>
      </c>
      <c r="H28" s="8">
        <v>4.9000000000000004</v>
      </c>
      <c r="I28" s="12">
        <v>8</v>
      </c>
    </row>
    <row r="29" spans="2:9" ht="15" customHeight="1" x14ac:dyDescent="0.2">
      <c r="B29" t="s">
        <v>91</v>
      </c>
      <c r="C29" s="12">
        <v>511</v>
      </c>
      <c r="D29" s="8">
        <v>3.78</v>
      </c>
      <c r="E29" s="12">
        <v>5</v>
      </c>
      <c r="F29" s="8">
        <v>0.19</v>
      </c>
      <c r="G29" s="12">
        <v>506</v>
      </c>
      <c r="H29" s="8">
        <v>4.6900000000000004</v>
      </c>
      <c r="I29" s="12">
        <v>0</v>
      </c>
    </row>
    <row r="30" spans="2:9" ht="15" customHeight="1" x14ac:dyDescent="0.2">
      <c r="B30" t="s">
        <v>92</v>
      </c>
      <c r="C30" s="12">
        <v>452</v>
      </c>
      <c r="D30" s="8">
        <v>3.34</v>
      </c>
      <c r="E30" s="12">
        <v>16</v>
      </c>
      <c r="F30" s="8">
        <v>0.6</v>
      </c>
      <c r="G30" s="12">
        <v>431</v>
      </c>
      <c r="H30" s="8">
        <v>3.99</v>
      </c>
      <c r="I30" s="12">
        <v>5</v>
      </c>
    </row>
    <row r="31" spans="2:9" ht="15" customHeight="1" x14ac:dyDescent="0.2">
      <c r="B31" t="s">
        <v>93</v>
      </c>
      <c r="C31" s="12">
        <v>437</v>
      </c>
      <c r="D31" s="8">
        <v>3.23</v>
      </c>
      <c r="E31" s="12">
        <v>6</v>
      </c>
      <c r="F31" s="8">
        <v>0.22</v>
      </c>
      <c r="G31" s="12">
        <v>430</v>
      </c>
      <c r="H31" s="8">
        <v>3.98</v>
      </c>
      <c r="I31" s="12">
        <v>1</v>
      </c>
    </row>
    <row r="32" spans="2:9" ht="15" customHeight="1" x14ac:dyDescent="0.2">
      <c r="B32" t="s">
        <v>94</v>
      </c>
      <c r="C32" s="12">
        <v>409</v>
      </c>
      <c r="D32" s="8">
        <v>3.02</v>
      </c>
      <c r="E32" s="12">
        <v>5</v>
      </c>
      <c r="F32" s="8">
        <v>0.19</v>
      </c>
      <c r="G32" s="12">
        <v>403</v>
      </c>
      <c r="H32" s="8">
        <v>3.73</v>
      </c>
      <c r="I32" s="12">
        <v>1</v>
      </c>
    </row>
    <row r="33" spans="2:9" ht="15" customHeight="1" x14ac:dyDescent="0.2">
      <c r="B33" t="s">
        <v>99</v>
      </c>
      <c r="C33" s="12">
        <v>368</v>
      </c>
      <c r="D33" s="8">
        <v>2.72</v>
      </c>
      <c r="E33" s="12">
        <v>5</v>
      </c>
      <c r="F33" s="8">
        <v>0.19</v>
      </c>
      <c r="G33" s="12">
        <v>363</v>
      </c>
      <c r="H33" s="8">
        <v>3.36</v>
      </c>
      <c r="I33" s="12">
        <v>0</v>
      </c>
    </row>
    <row r="34" spans="2:9" ht="15" customHeight="1" x14ac:dyDescent="0.2">
      <c r="B34" t="s">
        <v>110</v>
      </c>
      <c r="C34" s="12">
        <v>334</v>
      </c>
      <c r="D34" s="8">
        <v>2.4700000000000002</v>
      </c>
      <c r="E34" s="12">
        <v>2</v>
      </c>
      <c r="F34" s="8">
        <v>7.0000000000000007E-2</v>
      </c>
      <c r="G34" s="12">
        <v>332</v>
      </c>
      <c r="H34" s="8">
        <v>3.07</v>
      </c>
      <c r="I34" s="12">
        <v>0</v>
      </c>
    </row>
    <row r="35" spans="2:9" ht="15" customHeight="1" x14ac:dyDescent="0.2">
      <c r="B35" t="s">
        <v>102</v>
      </c>
      <c r="C35" s="12">
        <v>327</v>
      </c>
      <c r="D35" s="8">
        <v>2.42</v>
      </c>
      <c r="E35" s="12">
        <v>38</v>
      </c>
      <c r="F35" s="8">
        <v>1.41</v>
      </c>
      <c r="G35" s="12">
        <v>287</v>
      </c>
      <c r="H35" s="8">
        <v>2.66</v>
      </c>
      <c r="I35" s="12">
        <v>1</v>
      </c>
    </row>
    <row r="36" spans="2:9" ht="15" customHeight="1" x14ac:dyDescent="0.2">
      <c r="B36" t="s">
        <v>95</v>
      </c>
      <c r="C36" s="12">
        <v>324</v>
      </c>
      <c r="D36" s="8">
        <v>2.39</v>
      </c>
      <c r="E36" s="12">
        <v>27</v>
      </c>
      <c r="F36" s="8">
        <v>1</v>
      </c>
      <c r="G36" s="12">
        <v>297</v>
      </c>
      <c r="H36" s="8">
        <v>2.75</v>
      </c>
      <c r="I36" s="12">
        <v>0</v>
      </c>
    </row>
    <row r="37" spans="2:9" ht="15" customHeight="1" x14ac:dyDescent="0.2">
      <c r="B37" t="s">
        <v>96</v>
      </c>
      <c r="C37" s="12">
        <v>287</v>
      </c>
      <c r="D37" s="8">
        <v>2.12</v>
      </c>
      <c r="E37" s="12">
        <v>35</v>
      </c>
      <c r="F37" s="8">
        <v>1.3</v>
      </c>
      <c r="G37" s="12">
        <v>252</v>
      </c>
      <c r="H37" s="8">
        <v>2.33</v>
      </c>
      <c r="I37" s="12">
        <v>0</v>
      </c>
    </row>
    <row r="38" spans="2:9" ht="15" customHeight="1" x14ac:dyDescent="0.2">
      <c r="B38" t="s">
        <v>106</v>
      </c>
      <c r="C38" s="12">
        <v>280</v>
      </c>
      <c r="D38" s="8">
        <v>2.0699999999999998</v>
      </c>
      <c r="E38" s="12">
        <v>187</v>
      </c>
      <c r="F38" s="8">
        <v>6.96</v>
      </c>
      <c r="G38" s="12">
        <v>92</v>
      </c>
      <c r="H38" s="8">
        <v>0.85</v>
      </c>
      <c r="I38" s="12">
        <v>0</v>
      </c>
    </row>
    <row r="39" spans="2:9" ht="15" customHeight="1" x14ac:dyDescent="0.2">
      <c r="B39" t="s">
        <v>105</v>
      </c>
      <c r="C39" s="12">
        <v>250</v>
      </c>
      <c r="D39" s="8">
        <v>1.85</v>
      </c>
      <c r="E39" s="12">
        <v>33</v>
      </c>
      <c r="F39" s="8">
        <v>1.23</v>
      </c>
      <c r="G39" s="12">
        <v>207</v>
      </c>
      <c r="H39" s="8">
        <v>1.92</v>
      </c>
      <c r="I39" s="12">
        <v>4</v>
      </c>
    </row>
    <row r="40" spans="2:9" ht="15" customHeight="1" x14ac:dyDescent="0.2">
      <c r="B40" t="s">
        <v>108</v>
      </c>
      <c r="C40" s="12">
        <v>249</v>
      </c>
      <c r="D40" s="8">
        <v>1.84</v>
      </c>
      <c r="E40" s="12">
        <v>12</v>
      </c>
      <c r="F40" s="8">
        <v>0.45</v>
      </c>
      <c r="G40" s="12">
        <v>237</v>
      </c>
      <c r="H40" s="8">
        <v>2.19</v>
      </c>
      <c r="I40" s="12">
        <v>0</v>
      </c>
    </row>
    <row r="41" spans="2:9" ht="15" customHeight="1" x14ac:dyDescent="0.2">
      <c r="B41" t="s">
        <v>111</v>
      </c>
      <c r="C41" s="12">
        <v>202</v>
      </c>
      <c r="D41" s="8">
        <v>1.49</v>
      </c>
      <c r="E41" s="12">
        <v>4</v>
      </c>
      <c r="F41" s="8">
        <v>0.15</v>
      </c>
      <c r="G41" s="12">
        <v>197</v>
      </c>
      <c r="H41" s="8">
        <v>1.82</v>
      </c>
      <c r="I41" s="12">
        <v>1</v>
      </c>
    </row>
    <row r="42" spans="2:9" ht="15" customHeight="1" x14ac:dyDescent="0.2">
      <c r="B42" t="s">
        <v>109</v>
      </c>
      <c r="C42" s="12">
        <v>183</v>
      </c>
      <c r="D42" s="8">
        <v>1.35</v>
      </c>
      <c r="E42" s="12">
        <v>3</v>
      </c>
      <c r="F42" s="8">
        <v>0.11</v>
      </c>
      <c r="G42" s="12">
        <v>180</v>
      </c>
      <c r="H42" s="8">
        <v>1.67</v>
      </c>
      <c r="I42" s="12">
        <v>0</v>
      </c>
    </row>
    <row r="43" spans="2:9" ht="15" customHeight="1" x14ac:dyDescent="0.2">
      <c r="B43" t="s">
        <v>89</v>
      </c>
      <c r="C43" s="12">
        <v>181</v>
      </c>
      <c r="D43" s="8">
        <v>1.34</v>
      </c>
      <c r="E43" s="12">
        <v>3</v>
      </c>
      <c r="F43" s="8">
        <v>0.11</v>
      </c>
      <c r="G43" s="12">
        <v>177</v>
      </c>
      <c r="H43" s="8">
        <v>1.64</v>
      </c>
      <c r="I43" s="12">
        <v>1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161</v>
      </c>
      <c r="C47" s="12">
        <v>687</v>
      </c>
      <c r="D47" s="8">
        <v>5.08</v>
      </c>
      <c r="E47" s="12">
        <v>151</v>
      </c>
      <c r="F47" s="8">
        <v>5.62</v>
      </c>
      <c r="G47" s="12">
        <v>536</v>
      </c>
      <c r="H47" s="8">
        <v>4.96</v>
      </c>
      <c r="I47" s="12">
        <v>0</v>
      </c>
    </row>
    <row r="48" spans="2:9" ht="15" customHeight="1" x14ac:dyDescent="0.2">
      <c r="B48" t="s">
        <v>182</v>
      </c>
      <c r="C48" s="12">
        <v>681</v>
      </c>
      <c r="D48" s="8">
        <v>5.03</v>
      </c>
      <c r="E48" s="12">
        <v>638</v>
      </c>
      <c r="F48" s="8">
        <v>23.74</v>
      </c>
      <c r="G48" s="12">
        <v>43</v>
      </c>
      <c r="H48" s="8">
        <v>0.4</v>
      </c>
      <c r="I48" s="12">
        <v>0</v>
      </c>
    </row>
    <row r="49" spans="2:9" ht="15" customHeight="1" x14ac:dyDescent="0.2">
      <c r="B49" t="s">
        <v>164</v>
      </c>
      <c r="C49" s="12">
        <v>596</v>
      </c>
      <c r="D49" s="8">
        <v>4.4000000000000004</v>
      </c>
      <c r="E49" s="12">
        <v>546</v>
      </c>
      <c r="F49" s="8">
        <v>20.32</v>
      </c>
      <c r="G49" s="12">
        <v>50</v>
      </c>
      <c r="H49" s="8">
        <v>0.46</v>
      </c>
      <c r="I49" s="12">
        <v>0</v>
      </c>
    </row>
    <row r="50" spans="2:9" ht="15" customHeight="1" x14ac:dyDescent="0.2">
      <c r="B50" t="s">
        <v>165</v>
      </c>
      <c r="C50" s="12">
        <v>470</v>
      </c>
      <c r="D50" s="8">
        <v>3.47</v>
      </c>
      <c r="E50" s="12">
        <v>12</v>
      </c>
      <c r="F50" s="8">
        <v>0.45</v>
      </c>
      <c r="G50" s="12">
        <v>458</v>
      </c>
      <c r="H50" s="8">
        <v>4.24</v>
      </c>
      <c r="I50" s="12">
        <v>0</v>
      </c>
    </row>
    <row r="51" spans="2:9" ht="15" customHeight="1" x14ac:dyDescent="0.2">
      <c r="B51" t="s">
        <v>166</v>
      </c>
      <c r="C51" s="12">
        <v>455</v>
      </c>
      <c r="D51" s="8">
        <v>3.36</v>
      </c>
      <c r="E51" s="12">
        <v>19</v>
      </c>
      <c r="F51" s="8">
        <v>0.71</v>
      </c>
      <c r="G51" s="12">
        <v>433</v>
      </c>
      <c r="H51" s="8">
        <v>4.01</v>
      </c>
      <c r="I51" s="12">
        <v>3</v>
      </c>
    </row>
    <row r="52" spans="2:9" ht="15" customHeight="1" x14ac:dyDescent="0.2">
      <c r="B52" t="s">
        <v>157</v>
      </c>
      <c r="C52" s="12">
        <v>407</v>
      </c>
      <c r="D52" s="8">
        <v>3.01</v>
      </c>
      <c r="E52" s="12">
        <v>4</v>
      </c>
      <c r="F52" s="8">
        <v>0.15</v>
      </c>
      <c r="G52" s="12">
        <v>403</v>
      </c>
      <c r="H52" s="8">
        <v>3.73</v>
      </c>
      <c r="I52" s="12">
        <v>0</v>
      </c>
    </row>
    <row r="53" spans="2:9" ht="15" customHeight="1" x14ac:dyDescent="0.2">
      <c r="B53" t="s">
        <v>162</v>
      </c>
      <c r="C53" s="12">
        <v>388</v>
      </c>
      <c r="D53" s="8">
        <v>2.87</v>
      </c>
      <c r="E53" s="12">
        <v>29</v>
      </c>
      <c r="F53" s="8">
        <v>1.08</v>
      </c>
      <c r="G53" s="12">
        <v>359</v>
      </c>
      <c r="H53" s="8">
        <v>3.32</v>
      </c>
      <c r="I53" s="12">
        <v>0</v>
      </c>
    </row>
    <row r="54" spans="2:9" ht="15" customHeight="1" x14ac:dyDescent="0.2">
      <c r="B54" t="s">
        <v>176</v>
      </c>
      <c r="C54" s="12">
        <v>371</v>
      </c>
      <c r="D54" s="8">
        <v>2.74</v>
      </c>
      <c r="E54" s="12">
        <v>5</v>
      </c>
      <c r="F54" s="8">
        <v>0.19</v>
      </c>
      <c r="G54" s="12">
        <v>359</v>
      </c>
      <c r="H54" s="8">
        <v>3.32</v>
      </c>
      <c r="I54" s="12">
        <v>7</v>
      </c>
    </row>
    <row r="55" spans="2:9" ht="15" customHeight="1" x14ac:dyDescent="0.2">
      <c r="B55" t="s">
        <v>168</v>
      </c>
      <c r="C55" s="12">
        <v>358</v>
      </c>
      <c r="D55" s="8">
        <v>2.65</v>
      </c>
      <c r="E55" s="12">
        <v>156</v>
      </c>
      <c r="F55" s="8">
        <v>5.81</v>
      </c>
      <c r="G55" s="12">
        <v>202</v>
      </c>
      <c r="H55" s="8">
        <v>1.87</v>
      </c>
      <c r="I55" s="12">
        <v>0</v>
      </c>
    </row>
    <row r="56" spans="2:9" ht="15" customHeight="1" x14ac:dyDescent="0.2">
      <c r="B56" t="s">
        <v>163</v>
      </c>
      <c r="C56" s="12">
        <v>287</v>
      </c>
      <c r="D56" s="8">
        <v>2.12</v>
      </c>
      <c r="E56" s="12">
        <v>10</v>
      </c>
      <c r="F56" s="8">
        <v>0.37</v>
      </c>
      <c r="G56" s="12">
        <v>275</v>
      </c>
      <c r="H56" s="8">
        <v>2.5499999999999998</v>
      </c>
      <c r="I56" s="12">
        <v>2</v>
      </c>
    </row>
    <row r="57" spans="2:9" ht="15" customHeight="1" x14ac:dyDescent="0.2">
      <c r="B57" t="s">
        <v>169</v>
      </c>
      <c r="C57" s="12">
        <v>253</v>
      </c>
      <c r="D57" s="8">
        <v>1.87</v>
      </c>
      <c r="E57" s="12">
        <v>115</v>
      </c>
      <c r="F57" s="8">
        <v>4.28</v>
      </c>
      <c r="G57" s="12">
        <v>138</v>
      </c>
      <c r="H57" s="8">
        <v>1.28</v>
      </c>
      <c r="I57" s="12">
        <v>0</v>
      </c>
    </row>
    <row r="58" spans="2:9" ht="15" customHeight="1" x14ac:dyDescent="0.2">
      <c r="B58" t="s">
        <v>160</v>
      </c>
      <c r="C58" s="12">
        <v>248</v>
      </c>
      <c r="D58" s="8">
        <v>1.83</v>
      </c>
      <c r="E58" s="12">
        <v>4</v>
      </c>
      <c r="F58" s="8">
        <v>0.15</v>
      </c>
      <c r="G58" s="12">
        <v>244</v>
      </c>
      <c r="H58" s="8">
        <v>2.2599999999999998</v>
      </c>
      <c r="I58" s="12">
        <v>0</v>
      </c>
    </row>
    <row r="59" spans="2:9" ht="15" customHeight="1" x14ac:dyDescent="0.2">
      <c r="B59" t="s">
        <v>179</v>
      </c>
      <c r="C59" s="12">
        <v>233</v>
      </c>
      <c r="D59" s="8">
        <v>1.72</v>
      </c>
      <c r="E59" s="12">
        <v>7</v>
      </c>
      <c r="F59" s="8">
        <v>0.26</v>
      </c>
      <c r="G59" s="12">
        <v>222</v>
      </c>
      <c r="H59" s="8">
        <v>2.06</v>
      </c>
      <c r="I59" s="12">
        <v>4</v>
      </c>
    </row>
    <row r="60" spans="2:9" ht="15" customHeight="1" x14ac:dyDescent="0.2">
      <c r="B60" t="s">
        <v>167</v>
      </c>
      <c r="C60" s="12">
        <v>233</v>
      </c>
      <c r="D60" s="8">
        <v>1.72</v>
      </c>
      <c r="E60" s="12">
        <v>22</v>
      </c>
      <c r="F60" s="8">
        <v>0.82</v>
      </c>
      <c r="G60" s="12">
        <v>209</v>
      </c>
      <c r="H60" s="8">
        <v>1.94</v>
      </c>
      <c r="I60" s="12">
        <v>1</v>
      </c>
    </row>
    <row r="61" spans="2:9" ht="15" customHeight="1" x14ac:dyDescent="0.2">
      <c r="B61" t="s">
        <v>177</v>
      </c>
      <c r="C61" s="12">
        <v>222</v>
      </c>
      <c r="D61" s="8">
        <v>1.64</v>
      </c>
      <c r="E61" s="12">
        <v>4</v>
      </c>
      <c r="F61" s="8">
        <v>0.15</v>
      </c>
      <c r="G61" s="12">
        <v>217</v>
      </c>
      <c r="H61" s="8">
        <v>2.0099999999999998</v>
      </c>
      <c r="I61" s="12">
        <v>1</v>
      </c>
    </row>
    <row r="62" spans="2:9" ht="15" customHeight="1" x14ac:dyDescent="0.2">
      <c r="B62" t="s">
        <v>181</v>
      </c>
      <c r="C62" s="12">
        <v>202</v>
      </c>
      <c r="D62" s="8">
        <v>1.49</v>
      </c>
      <c r="E62" s="12">
        <v>3</v>
      </c>
      <c r="F62" s="8">
        <v>0.11</v>
      </c>
      <c r="G62" s="12">
        <v>198</v>
      </c>
      <c r="H62" s="8">
        <v>1.83</v>
      </c>
      <c r="I62" s="12">
        <v>1</v>
      </c>
    </row>
    <row r="63" spans="2:9" ht="15" customHeight="1" x14ac:dyDescent="0.2">
      <c r="B63" t="s">
        <v>178</v>
      </c>
      <c r="C63" s="12">
        <v>198</v>
      </c>
      <c r="D63" s="8">
        <v>1.46</v>
      </c>
      <c r="E63" s="12">
        <v>6</v>
      </c>
      <c r="F63" s="8">
        <v>0.22</v>
      </c>
      <c r="G63" s="12">
        <v>192</v>
      </c>
      <c r="H63" s="8">
        <v>1.78</v>
      </c>
      <c r="I63" s="12">
        <v>0</v>
      </c>
    </row>
    <row r="64" spans="2:9" ht="15" customHeight="1" x14ac:dyDescent="0.2">
      <c r="B64" t="s">
        <v>159</v>
      </c>
      <c r="C64" s="12">
        <v>187</v>
      </c>
      <c r="D64" s="8">
        <v>1.38</v>
      </c>
      <c r="E64" s="12">
        <v>36</v>
      </c>
      <c r="F64" s="8">
        <v>1.34</v>
      </c>
      <c r="G64" s="12">
        <v>151</v>
      </c>
      <c r="H64" s="8">
        <v>1.4</v>
      </c>
      <c r="I64" s="12">
        <v>0</v>
      </c>
    </row>
    <row r="65" spans="2:9" ht="15" customHeight="1" x14ac:dyDescent="0.2">
      <c r="B65" t="s">
        <v>183</v>
      </c>
      <c r="C65" s="12">
        <v>151</v>
      </c>
      <c r="D65" s="8">
        <v>1.1200000000000001</v>
      </c>
      <c r="E65" s="12">
        <v>0</v>
      </c>
      <c r="F65" s="8">
        <v>0</v>
      </c>
      <c r="G65" s="12">
        <v>151</v>
      </c>
      <c r="H65" s="8">
        <v>1.4</v>
      </c>
      <c r="I65" s="12">
        <v>0</v>
      </c>
    </row>
    <row r="66" spans="2:9" ht="15" customHeight="1" x14ac:dyDescent="0.2">
      <c r="B66" t="s">
        <v>180</v>
      </c>
      <c r="C66" s="12">
        <v>149</v>
      </c>
      <c r="D66" s="8">
        <v>1.1000000000000001</v>
      </c>
      <c r="E66" s="12">
        <v>1</v>
      </c>
      <c r="F66" s="8">
        <v>0.04</v>
      </c>
      <c r="G66" s="12">
        <v>148</v>
      </c>
      <c r="H66" s="8">
        <v>1.37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43FC2-F935-45A0-8244-BC3BA863AB4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66</v>
      </c>
      <c r="C6" s="12">
        <v>534</v>
      </c>
      <c r="D6" s="8">
        <v>3.65</v>
      </c>
      <c r="E6" s="12">
        <v>12</v>
      </c>
      <c r="F6" s="8">
        <v>0.37</v>
      </c>
      <c r="G6" s="12">
        <v>522</v>
      </c>
      <c r="H6" s="8">
        <v>4.58</v>
      </c>
      <c r="I6" s="12">
        <v>0</v>
      </c>
    </row>
    <row r="7" spans="2:9" ht="15" customHeight="1" x14ac:dyDescent="0.2">
      <c r="B7" t="s">
        <v>67</v>
      </c>
      <c r="C7" s="12">
        <v>851</v>
      </c>
      <c r="D7" s="8">
        <v>5.82</v>
      </c>
      <c r="E7" s="12">
        <v>44</v>
      </c>
      <c r="F7" s="8">
        <v>1.37</v>
      </c>
      <c r="G7" s="12">
        <v>807</v>
      </c>
      <c r="H7" s="8">
        <v>7.08</v>
      </c>
      <c r="I7" s="12">
        <v>0</v>
      </c>
    </row>
    <row r="8" spans="2:9" ht="15" customHeight="1" x14ac:dyDescent="0.2">
      <c r="B8" t="s">
        <v>68</v>
      </c>
      <c r="C8" s="12">
        <v>25</v>
      </c>
      <c r="D8" s="8">
        <v>0.17</v>
      </c>
      <c r="E8" s="12">
        <v>0</v>
      </c>
      <c r="F8" s="8">
        <v>0</v>
      </c>
      <c r="G8" s="12">
        <v>25</v>
      </c>
      <c r="H8" s="8">
        <v>0.22</v>
      </c>
      <c r="I8" s="12">
        <v>0</v>
      </c>
    </row>
    <row r="9" spans="2:9" ht="15" customHeight="1" x14ac:dyDescent="0.2">
      <c r="B9" t="s">
        <v>69</v>
      </c>
      <c r="C9" s="12">
        <v>718</v>
      </c>
      <c r="D9" s="8">
        <v>4.91</v>
      </c>
      <c r="E9" s="12">
        <v>8</v>
      </c>
      <c r="F9" s="8">
        <v>0.25</v>
      </c>
      <c r="G9" s="12">
        <v>706</v>
      </c>
      <c r="H9" s="8">
        <v>6.2</v>
      </c>
      <c r="I9" s="12">
        <v>4</v>
      </c>
    </row>
    <row r="10" spans="2:9" ht="15" customHeight="1" x14ac:dyDescent="0.2">
      <c r="B10" t="s">
        <v>70</v>
      </c>
      <c r="C10" s="12">
        <v>230</v>
      </c>
      <c r="D10" s="8">
        <v>1.57</v>
      </c>
      <c r="E10" s="12">
        <v>2</v>
      </c>
      <c r="F10" s="8">
        <v>0.06</v>
      </c>
      <c r="G10" s="12">
        <v>226</v>
      </c>
      <c r="H10" s="8">
        <v>1.98</v>
      </c>
      <c r="I10" s="12">
        <v>2</v>
      </c>
    </row>
    <row r="11" spans="2:9" ht="15" customHeight="1" x14ac:dyDescent="0.2">
      <c r="B11" t="s">
        <v>71</v>
      </c>
      <c r="C11" s="12">
        <v>3650</v>
      </c>
      <c r="D11" s="8">
        <v>24.96</v>
      </c>
      <c r="E11" s="12">
        <v>321</v>
      </c>
      <c r="F11" s="8">
        <v>10.02</v>
      </c>
      <c r="G11" s="12">
        <v>3326</v>
      </c>
      <c r="H11" s="8">
        <v>29.19</v>
      </c>
      <c r="I11" s="12">
        <v>3</v>
      </c>
    </row>
    <row r="12" spans="2:9" ht="15" customHeight="1" x14ac:dyDescent="0.2">
      <c r="B12" t="s">
        <v>72</v>
      </c>
      <c r="C12" s="12">
        <v>158</v>
      </c>
      <c r="D12" s="8">
        <v>1.08</v>
      </c>
      <c r="E12" s="12">
        <v>2</v>
      </c>
      <c r="F12" s="8">
        <v>0.06</v>
      </c>
      <c r="G12" s="12">
        <v>156</v>
      </c>
      <c r="H12" s="8">
        <v>1.37</v>
      </c>
      <c r="I12" s="12">
        <v>0</v>
      </c>
    </row>
    <row r="13" spans="2:9" ht="15" customHeight="1" x14ac:dyDescent="0.2">
      <c r="B13" t="s">
        <v>73</v>
      </c>
      <c r="C13" s="12">
        <v>1756</v>
      </c>
      <c r="D13" s="8">
        <v>12.01</v>
      </c>
      <c r="E13" s="12">
        <v>151</v>
      </c>
      <c r="F13" s="8">
        <v>4.72</v>
      </c>
      <c r="G13" s="12">
        <v>1604</v>
      </c>
      <c r="H13" s="8">
        <v>14.08</v>
      </c>
      <c r="I13" s="12">
        <v>1</v>
      </c>
    </row>
    <row r="14" spans="2:9" ht="15" customHeight="1" x14ac:dyDescent="0.2">
      <c r="B14" t="s">
        <v>74</v>
      </c>
      <c r="C14" s="12">
        <v>2622</v>
      </c>
      <c r="D14" s="8">
        <v>17.93</v>
      </c>
      <c r="E14" s="12">
        <v>1158</v>
      </c>
      <c r="F14" s="8">
        <v>36.159999999999997</v>
      </c>
      <c r="G14" s="12">
        <v>1455</v>
      </c>
      <c r="H14" s="8">
        <v>12.77</v>
      </c>
      <c r="I14" s="12">
        <v>7</v>
      </c>
    </row>
    <row r="15" spans="2:9" ht="15" customHeight="1" x14ac:dyDescent="0.2">
      <c r="B15" t="s">
        <v>75</v>
      </c>
      <c r="C15" s="12">
        <v>1961</v>
      </c>
      <c r="D15" s="8">
        <v>13.41</v>
      </c>
      <c r="E15" s="12">
        <v>897</v>
      </c>
      <c r="F15" s="8">
        <v>28.01</v>
      </c>
      <c r="G15" s="12">
        <v>1064</v>
      </c>
      <c r="H15" s="8">
        <v>9.34</v>
      </c>
      <c r="I15" s="12">
        <v>0</v>
      </c>
    </row>
    <row r="16" spans="2:9" ht="15" customHeight="1" x14ac:dyDescent="0.2">
      <c r="B16" t="s">
        <v>76</v>
      </c>
      <c r="C16" s="12">
        <v>692</v>
      </c>
      <c r="D16" s="8">
        <v>4.7300000000000004</v>
      </c>
      <c r="E16" s="12">
        <v>223</v>
      </c>
      <c r="F16" s="8">
        <v>6.96</v>
      </c>
      <c r="G16" s="12">
        <v>468</v>
      </c>
      <c r="H16" s="8">
        <v>4.1100000000000003</v>
      </c>
      <c r="I16" s="12">
        <v>1</v>
      </c>
    </row>
    <row r="17" spans="2:9" ht="15" customHeight="1" x14ac:dyDescent="0.2">
      <c r="B17" t="s">
        <v>77</v>
      </c>
      <c r="C17" s="12">
        <v>262</v>
      </c>
      <c r="D17" s="8">
        <v>1.79</v>
      </c>
      <c r="E17" s="12">
        <v>73</v>
      </c>
      <c r="F17" s="8">
        <v>2.2799999999999998</v>
      </c>
      <c r="G17" s="12">
        <v>188</v>
      </c>
      <c r="H17" s="8">
        <v>1.65</v>
      </c>
      <c r="I17" s="12">
        <v>1</v>
      </c>
    </row>
    <row r="18" spans="2:9" ht="15" customHeight="1" x14ac:dyDescent="0.2">
      <c r="B18" t="s">
        <v>78</v>
      </c>
      <c r="C18" s="12">
        <v>475</v>
      </c>
      <c r="D18" s="8">
        <v>3.25</v>
      </c>
      <c r="E18" s="12">
        <v>285</v>
      </c>
      <c r="F18" s="8">
        <v>8.9</v>
      </c>
      <c r="G18" s="12">
        <v>189</v>
      </c>
      <c r="H18" s="8">
        <v>1.66</v>
      </c>
      <c r="I18" s="12">
        <v>0</v>
      </c>
    </row>
    <row r="19" spans="2:9" ht="15" customHeight="1" x14ac:dyDescent="0.2">
      <c r="B19" t="s">
        <v>79</v>
      </c>
      <c r="C19" s="12">
        <v>691</v>
      </c>
      <c r="D19" s="8">
        <v>4.72</v>
      </c>
      <c r="E19" s="12">
        <v>26</v>
      </c>
      <c r="F19" s="8">
        <v>0.81</v>
      </c>
      <c r="G19" s="12">
        <v>658</v>
      </c>
      <c r="H19" s="8">
        <v>5.77</v>
      </c>
      <c r="I19" s="12">
        <v>5</v>
      </c>
    </row>
    <row r="20" spans="2:9" ht="15" customHeight="1" x14ac:dyDescent="0.2">
      <c r="B20" s="9" t="s">
        <v>280</v>
      </c>
      <c r="C20" s="12">
        <f>SUM(LTBL_13102[総数／事業所数])</f>
        <v>14625</v>
      </c>
      <c r="E20" s="12">
        <f>SUBTOTAL(109,LTBL_13102[個人／事業所数])</f>
        <v>3202</v>
      </c>
      <c r="G20" s="12">
        <f>SUBTOTAL(109,LTBL_13102[法人／事業所数])</f>
        <v>11394</v>
      </c>
      <c r="I20" s="12">
        <f>SUBTOTAL(109,LTBL_13102[法人以外の団体／事業所数])</f>
        <v>24</v>
      </c>
    </row>
    <row r="21" spans="2:9" ht="15" customHeight="1" x14ac:dyDescent="0.2">
      <c r="E21" s="11">
        <f>LTBL_13102[[#Totals],[個人／事業所数]]/LTBL_13102[[#Totals],[総数／事業所数]]</f>
        <v>0.21894017094017093</v>
      </c>
      <c r="G21" s="11">
        <f>LTBL_13102[[#Totals],[法人／事業所数]]/LTBL_13102[[#Totals],[総数／事業所数]]</f>
        <v>0.77907692307692311</v>
      </c>
      <c r="I21" s="11">
        <f>LTBL_13102[[#Totals],[法人以外の団体／事業所数]]/LTBL_13102[[#Totals],[総数／事業所数]]</f>
        <v>1.6410256410256409E-3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101</v>
      </c>
      <c r="C24" s="12">
        <v>2114</v>
      </c>
      <c r="D24" s="8">
        <v>14.45</v>
      </c>
      <c r="E24" s="12">
        <v>1123</v>
      </c>
      <c r="F24" s="8">
        <v>35.07</v>
      </c>
      <c r="G24" s="12">
        <v>990</v>
      </c>
      <c r="H24" s="8">
        <v>8.69</v>
      </c>
      <c r="I24" s="12">
        <v>1</v>
      </c>
    </row>
    <row r="25" spans="2:9" ht="15" customHeight="1" x14ac:dyDescent="0.2">
      <c r="B25" t="s">
        <v>103</v>
      </c>
      <c r="C25" s="12">
        <v>1872</v>
      </c>
      <c r="D25" s="8">
        <v>12.8</v>
      </c>
      <c r="E25" s="12">
        <v>894</v>
      </c>
      <c r="F25" s="8">
        <v>27.92</v>
      </c>
      <c r="G25" s="12">
        <v>978</v>
      </c>
      <c r="H25" s="8">
        <v>8.58</v>
      </c>
      <c r="I25" s="12">
        <v>0</v>
      </c>
    </row>
    <row r="26" spans="2:9" ht="15" customHeight="1" x14ac:dyDescent="0.2">
      <c r="B26" t="s">
        <v>100</v>
      </c>
      <c r="C26" s="12">
        <v>1325</v>
      </c>
      <c r="D26" s="8">
        <v>9.06</v>
      </c>
      <c r="E26" s="12">
        <v>147</v>
      </c>
      <c r="F26" s="8">
        <v>4.59</v>
      </c>
      <c r="G26" s="12">
        <v>1177</v>
      </c>
      <c r="H26" s="8">
        <v>10.33</v>
      </c>
      <c r="I26" s="12">
        <v>1</v>
      </c>
    </row>
    <row r="27" spans="2:9" ht="15" customHeight="1" x14ac:dyDescent="0.2">
      <c r="B27" t="s">
        <v>98</v>
      </c>
      <c r="C27" s="12">
        <v>669</v>
      </c>
      <c r="D27" s="8">
        <v>4.57</v>
      </c>
      <c r="E27" s="12">
        <v>147</v>
      </c>
      <c r="F27" s="8">
        <v>4.59</v>
      </c>
      <c r="G27" s="12">
        <v>522</v>
      </c>
      <c r="H27" s="8">
        <v>4.58</v>
      </c>
      <c r="I27" s="12">
        <v>0</v>
      </c>
    </row>
    <row r="28" spans="2:9" ht="15" customHeight="1" x14ac:dyDescent="0.2">
      <c r="B28" t="s">
        <v>107</v>
      </c>
      <c r="C28" s="12">
        <v>516</v>
      </c>
      <c r="D28" s="8">
        <v>3.53</v>
      </c>
      <c r="E28" s="12">
        <v>19</v>
      </c>
      <c r="F28" s="8">
        <v>0.59</v>
      </c>
      <c r="G28" s="12">
        <v>491</v>
      </c>
      <c r="H28" s="8">
        <v>4.3099999999999996</v>
      </c>
      <c r="I28" s="12">
        <v>5</v>
      </c>
    </row>
    <row r="29" spans="2:9" ht="15" customHeight="1" x14ac:dyDescent="0.2">
      <c r="B29" t="s">
        <v>94</v>
      </c>
      <c r="C29" s="12">
        <v>485</v>
      </c>
      <c r="D29" s="8">
        <v>3.32</v>
      </c>
      <c r="E29" s="12">
        <v>12</v>
      </c>
      <c r="F29" s="8">
        <v>0.37</v>
      </c>
      <c r="G29" s="12">
        <v>471</v>
      </c>
      <c r="H29" s="8">
        <v>4.13</v>
      </c>
      <c r="I29" s="12">
        <v>2</v>
      </c>
    </row>
    <row r="30" spans="2:9" ht="15" customHeight="1" x14ac:dyDescent="0.2">
      <c r="B30" t="s">
        <v>109</v>
      </c>
      <c r="C30" s="12">
        <v>457</v>
      </c>
      <c r="D30" s="8">
        <v>3.12</v>
      </c>
      <c r="E30" s="12">
        <v>12</v>
      </c>
      <c r="F30" s="8">
        <v>0.37</v>
      </c>
      <c r="G30" s="12">
        <v>445</v>
      </c>
      <c r="H30" s="8">
        <v>3.91</v>
      </c>
      <c r="I30" s="12">
        <v>0</v>
      </c>
    </row>
    <row r="31" spans="2:9" ht="15" customHeight="1" x14ac:dyDescent="0.2">
      <c r="B31" t="s">
        <v>104</v>
      </c>
      <c r="C31" s="12">
        <v>413</v>
      </c>
      <c r="D31" s="8">
        <v>2.82</v>
      </c>
      <c r="E31" s="12">
        <v>193</v>
      </c>
      <c r="F31" s="8">
        <v>6.03</v>
      </c>
      <c r="G31" s="12">
        <v>220</v>
      </c>
      <c r="H31" s="8">
        <v>1.93</v>
      </c>
      <c r="I31" s="12">
        <v>0</v>
      </c>
    </row>
    <row r="32" spans="2:9" ht="15" customHeight="1" x14ac:dyDescent="0.2">
      <c r="B32" t="s">
        <v>106</v>
      </c>
      <c r="C32" s="12">
        <v>402</v>
      </c>
      <c r="D32" s="8">
        <v>2.75</v>
      </c>
      <c r="E32" s="12">
        <v>285</v>
      </c>
      <c r="F32" s="8">
        <v>8.9</v>
      </c>
      <c r="G32" s="12">
        <v>117</v>
      </c>
      <c r="H32" s="8">
        <v>1.03</v>
      </c>
      <c r="I32" s="12">
        <v>0</v>
      </c>
    </row>
    <row r="33" spans="2:9" ht="15" customHeight="1" x14ac:dyDescent="0.2">
      <c r="B33" t="s">
        <v>112</v>
      </c>
      <c r="C33" s="12">
        <v>400</v>
      </c>
      <c r="D33" s="8">
        <v>2.74</v>
      </c>
      <c r="E33" s="12">
        <v>22</v>
      </c>
      <c r="F33" s="8">
        <v>0.69</v>
      </c>
      <c r="G33" s="12">
        <v>378</v>
      </c>
      <c r="H33" s="8">
        <v>3.32</v>
      </c>
      <c r="I33" s="12">
        <v>0</v>
      </c>
    </row>
    <row r="34" spans="2:9" ht="15" customHeight="1" x14ac:dyDescent="0.2">
      <c r="B34" t="s">
        <v>99</v>
      </c>
      <c r="C34" s="12">
        <v>370</v>
      </c>
      <c r="D34" s="8">
        <v>2.5299999999999998</v>
      </c>
      <c r="E34" s="12">
        <v>2</v>
      </c>
      <c r="F34" s="8">
        <v>0.06</v>
      </c>
      <c r="G34" s="12">
        <v>368</v>
      </c>
      <c r="H34" s="8">
        <v>3.23</v>
      </c>
      <c r="I34" s="12">
        <v>0</v>
      </c>
    </row>
    <row r="35" spans="2:9" ht="15" customHeight="1" x14ac:dyDescent="0.2">
      <c r="B35" t="s">
        <v>95</v>
      </c>
      <c r="C35" s="12">
        <v>358</v>
      </c>
      <c r="D35" s="8">
        <v>2.4500000000000002</v>
      </c>
      <c r="E35" s="12">
        <v>41</v>
      </c>
      <c r="F35" s="8">
        <v>1.28</v>
      </c>
      <c r="G35" s="12">
        <v>317</v>
      </c>
      <c r="H35" s="8">
        <v>2.78</v>
      </c>
      <c r="I35" s="12">
        <v>0</v>
      </c>
    </row>
    <row r="36" spans="2:9" ht="15" customHeight="1" x14ac:dyDescent="0.2">
      <c r="B36" t="s">
        <v>110</v>
      </c>
      <c r="C36" s="12">
        <v>351</v>
      </c>
      <c r="D36" s="8">
        <v>2.4</v>
      </c>
      <c r="E36" s="12">
        <v>0</v>
      </c>
      <c r="F36" s="8">
        <v>0</v>
      </c>
      <c r="G36" s="12">
        <v>351</v>
      </c>
      <c r="H36" s="8">
        <v>3.08</v>
      </c>
      <c r="I36" s="12">
        <v>0</v>
      </c>
    </row>
    <row r="37" spans="2:9" ht="15" customHeight="1" x14ac:dyDescent="0.2">
      <c r="B37" t="s">
        <v>93</v>
      </c>
      <c r="C37" s="12">
        <v>348</v>
      </c>
      <c r="D37" s="8">
        <v>2.38</v>
      </c>
      <c r="E37" s="12">
        <v>3</v>
      </c>
      <c r="F37" s="8">
        <v>0.09</v>
      </c>
      <c r="G37" s="12">
        <v>345</v>
      </c>
      <c r="H37" s="8">
        <v>3.03</v>
      </c>
      <c r="I37" s="12">
        <v>0</v>
      </c>
    </row>
    <row r="38" spans="2:9" ht="15" customHeight="1" x14ac:dyDescent="0.2">
      <c r="B38" t="s">
        <v>91</v>
      </c>
      <c r="C38" s="12">
        <v>342</v>
      </c>
      <c r="D38" s="8">
        <v>2.34</v>
      </c>
      <c r="E38" s="12">
        <v>1</v>
      </c>
      <c r="F38" s="8">
        <v>0.03</v>
      </c>
      <c r="G38" s="12">
        <v>339</v>
      </c>
      <c r="H38" s="8">
        <v>2.98</v>
      </c>
      <c r="I38" s="12">
        <v>2</v>
      </c>
    </row>
    <row r="39" spans="2:9" ht="15" customHeight="1" x14ac:dyDescent="0.2">
      <c r="B39" t="s">
        <v>96</v>
      </c>
      <c r="C39" s="12">
        <v>336</v>
      </c>
      <c r="D39" s="8">
        <v>2.2999999999999998</v>
      </c>
      <c r="E39" s="12">
        <v>73</v>
      </c>
      <c r="F39" s="8">
        <v>2.2799999999999998</v>
      </c>
      <c r="G39" s="12">
        <v>263</v>
      </c>
      <c r="H39" s="8">
        <v>2.31</v>
      </c>
      <c r="I39" s="12">
        <v>0</v>
      </c>
    </row>
    <row r="40" spans="2:9" ht="15" customHeight="1" x14ac:dyDescent="0.2">
      <c r="B40" t="s">
        <v>108</v>
      </c>
      <c r="C40" s="12">
        <v>298</v>
      </c>
      <c r="D40" s="8">
        <v>2.04</v>
      </c>
      <c r="E40" s="12">
        <v>22</v>
      </c>
      <c r="F40" s="8">
        <v>0.69</v>
      </c>
      <c r="G40" s="12">
        <v>276</v>
      </c>
      <c r="H40" s="8">
        <v>2.42</v>
      </c>
      <c r="I40" s="12">
        <v>0</v>
      </c>
    </row>
    <row r="41" spans="2:9" ht="15" customHeight="1" x14ac:dyDescent="0.2">
      <c r="B41" t="s">
        <v>102</v>
      </c>
      <c r="C41" s="12">
        <v>279</v>
      </c>
      <c r="D41" s="8">
        <v>1.91</v>
      </c>
      <c r="E41" s="12">
        <v>33</v>
      </c>
      <c r="F41" s="8">
        <v>1.03</v>
      </c>
      <c r="G41" s="12">
        <v>244</v>
      </c>
      <c r="H41" s="8">
        <v>2.14</v>
      </c>
      <c r="I41" s="12">
        <v>0</v>
      </c>
    </row>
    <row r="42" spans="2:9" ht="15" customHeight="1" x14ac:dyDescent="0.2">
      <c r="B42" t="s">
        <v>92</v>
      </c>
      <c r="C42" s="12">
        <v>269</v>
      </c>
      <c r="D42" s="8">
        <v>1.84</v>
      </c>
      <c r="E42" s="12">
        <v>7</v>
      </c>
      <c r="F42" s="8">
        <v>0.22</v>
      </c>
      <c r="G42" s="12">
        <v>260</v>
      </c>
      <c r="H42" s="8">
        <v>2.2799999999999998</v>
      </c>
      <c r="I42" s="12">
        <v>2</v>
      </c>
    </row>
    <row r="43" spans="2:9" ht="15" customHeight="1" x14ac:dyDescent="0.2">
      <c r="B43" t="s">
        <v>105</v>
      </c>
      <c r="C43" s="12">
        <v>262</v>
      </c>
      <c r="D43" s="8">
        <v>1.79</v>
      </c>
      <c r="E43" s="12">
        <v>73</v>
      </c>
      <c r="F43" s="8">
        <v>2.2799999999999998</v>
      </c>
      <c r="G43" s="12">
        <v>188</v>
      </c>
      <c r="H43" s="8">
        <v>1.65</v>
      </c>
      <c r="I43" s="12">
        <v>1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161</v>
      </c>
      <c r="C47" s="12">
        <v>618</v>
      </c>
      <c r="D47" s="8">
        <v>4.2300000000000004</v>
      </c>
      <c r="E47" s="12">
        <v>123</v>
      </c>
      <c r="F47" s="8">
        <v>3.84</v>
      </c>
      <c r="G47" s="12">
        <v>495</v>
      </c>
      <c r="H47" s="8">
        <v>4.34</v>
      </c>
      <c r="I47" s="12">
        <v>0</v>
      </c>
    </row>
    <row r="48" spans="2:9" ht="15" customHeight="1" x14ac:dyDescent="0.2">
      <c r="B48" t="s">
        <v>168</v>
      </c>
      <c r="C48" s="12">
        <v>602</v>
      </c>
      <c r="D48" s="8">
        <v>4.12</v>
      </c>
      <c r="E48" s="12">
        <v>264</v>
      </c>
      <c r="F48" s="8">
        <v>8.24</v>
      </c>
      <c r="G48" s="12">
        <v>338</v>
      </c>
      <c r="H48" s="8">
        <v>2.97</v>
      </c>
      <c r="I48" s="12">
        <v>0</v>
      </c>
    </row>
    <row r="49" spans="2:9" ht="15" customHeight="1" x14ac:dyDescent="0.2">
      <c r="B49" t="s">
        <v>164</v>
      </c>
      <c r="C49" s="12">
        <v>563</v>
      </c>
      <c r="D49" s="8">
        <v>3.85</v>
      </c>
      <c r="E49" s="12">
        <v>513</v>
      </c>
      <c r="F49" s="8">
        <v>16.02</v>
      </c>
      <c r="G49" s="12">
        <v>50</v>
      </c>
      <c r="H49" s="8">
        <v>0.44</v>
      </c>
      <c r="I49" s="12">
        <v>0</v>
      </c>
    </row>
    <row r="50" spans="2:9" ht="15" customHeight="1" x14ac:dyDescent="0.2">
      <c r="B50" t="s">
        <v>170</v>
      </c>
      <c r="C50" s="12">
        <v>446</v>
      </c>
      <c r="D50" s="8">
        <v>3.05</v>
      </c>
      <c r="E50" s="12">
        <v>235</v>
      </c>
      <c r="F50" s="8">
        <v>7.34</v>
      </c>
      <c r="G50" s="12">
        <v>211</v>
      </c>
      <c r="H50" s="8">
        <v>1.85</v>
      </c>
      <c r="I50" s="12">
        <v>0</v>
      </c>
    </row>
    <row r="51" spans="2:9" ht="15" customHeight="1" x14ac:dyDescent="0.2">
      <c r="B51" t="s">
        <v>182</v>
      </c>
      <c r="C51" s="12">
        <v>438</v>
      </c>
      <c r="D51" s="8">
        <v>2.99</v>
      </c>
      <c r="E51" s="12">
        <v>418</v>
      </c>
      <c r="F51" s="8">
        <v>13.05</v>
      </c>
      <c r="G51" s="12">
        <v>20</v>
      </c>
      <c r="H51" s="8">
        <v>0.18</v>
      </c>
      <c r="I51" s="12">
        <v>0</v>
      </c>
    </row>
    <row r="52" spans="2:9" ht="15" customHeight="1" x14ac:dyDescent="0.2">
      <c r="B52" t="s">
        <v>166</v>
      </c>
      <c r="C52" s="12">
        <v>394</v>
      </c>
      <c r="D52" s="8">
        <v>2.69</v>
      </c>
      <c r="E52" s="12">
        <v>15</v>
      </c>
      <c r="F52" s="8">
        <v>0.47</v>
      </c>
      <c r="G52" s="12">
        <v>378</v>
      </c>
      <c r="H52" s="8">
        <v>3.32</v>
      </c>
      <c r="I52" s="12">
        <v>1</v>
      </c>
    </row>
    <row r="53" spans="2:9" ht="15" customHeight="1" x14ac:dyDescent="0.2">
      <c r="B53" t="s">
        <v>162</v>
      </c>
      <c r="C53" s="12">
        <v>391</v>
      </c>
      <c r="D53" s="8">
        <v>2.67</v>
      </c>
      <c r="E53" s="12">
        <v>16</v>
      </c>
      <c r="F53" s="8">
        <v>0.5</v>
      </c>
      <c r="G53" s="12">
        <v>375</v>
      </c>
      <c r="H53" s="8">
        <v>3.29</v>
      </c>
      <c r="I53" s="12">
        <v>0</v>
      </c>
    </row>
    <row r="54" spans="2:9" ht="15" customHeight="1" x14ac:dyDescent="0.2">
      <c r="B54" t="s">
        <v>165</v>
      </c>
      <c r="C54" s="12">
        <v>381</v>
      </c>
      <c r="D54" s="8">
        <v>2.61</v>
      </c>
      <c r="E54" s="12">
        <v>6</v>
      </c>
      <c r="F54" s="8">
        <v>0.19</v>
      </c>
      <c r="G54" s="12">
        <v>375</v>
      </c>
      <c r="H54" s="8">
        <v>3.29</v>
      </c>
      <c r="I54" s="12">
        <v>0</v>
      </c>
    </row>
    <row r="55" spans="2:9" ht="15" customHeight="1" x14ac:dyDescent="0.2">
      <c r="B55" t="s">
        <v>176</v>
      </c>
      <c r="C55" s="12">
        <v>365</v>
      </c>
      <c r="D55" s="8">
        <v>2.5</v>
      </c>
      <c r="E55" s="12">
        <v>18</v>
      </c>
      <c r="F55" s="8">
        <v>0.56000000000000005</v>
      </c>
      <c r="G55" s="12">
        <v>342</v>
      </c>
      <c r="H55" s="8">
        <v>3</v>
      </c>
      <c r="I55" s="12">
        <v>4</v>
      </c>
    </row>
    <row r="56" spans="2:9" ht="15" customHeight="1" x14ac:dyDescent="0.2">
      <c r="B56" t="s">
        <v>159</v>
      </c>
      <c r="C56" s="12">
        <v>353</v>
      </c>
      <c r="D56" s="8">
        <v>2.41</v>
      </c>
      <c r="E56" s="12">
        <v>110</v>
      </c>
      <c r="F56" s="8">
        <v>3.44</v>
      </c>
      <c r="G56" s="12">
        <v>243</v>
      </c>
      <c r="H56" s="8">
        <v>2.13</v>
      </c>
      <c r="I56" s="12">
        <v>0</v>
      </c>
    </row>
    <row r="57" spans="2:9" ht="15" customHeight="1" x14ac:dyDescent="0.2">
      <c r="B57" t="s">
        <v>169</v>
      </c>
      <c r="C57" s="12">
        <v>350</v>
      </c>
      <c r="D57" s="8">
        <v>2.39</v>
      </c>
      <c r="E57" s="12">
        <v>185</v>
      </c>
      <c r="F57" s="8">
        <v>5.78</v>
      </c>
      <c r="G57" s="12">
        <v>165</v>
      </c>
      <c r="H57" s="8">
        <v>1.45</v>
      </c>
      <c r="I57" s="12">
        <v>0</v>
      </c>
    </row>
    <row r="58" spans="2:9" ht="15" customHeight="1" x14ac:dyDescent="0.2">
      <c r="B58" t="s">
        <v>163</v>
      </c>
      <c r="C58" s="12">
        <v>288</v>
      </c>
      <c r="D58" s="8">
        <v>1.97</v>
      </c>
      <c r="E58" s="12">
        <v>5</v>
      </c>
      <c r="F58" s="8">
        <v>0.16</v>
      </c>
      <c r="G58" s="12">
        <v>282</v>
      </c>
      <c r="H58" s="8">
        <v>2.4700000000000002</v>
      </c>
      <c r="I58" s="12">
        <v>1</v>
      </c>
    </row>
    <row r="59" spans="2:9" ht="15" customHeight="1" x14ac:dyDescent="0.2">
      <c r="B59" t="s">
        <v>157</v>
      </c>
      <c r="C59" s="12">
        <v>269</v>
      </c>
      <c r="D59" s="8">
        <v>1.84</v>
      </c>
      <c r="E59" s="12">
        <v>1</v>
      </c>
      <c r="F59" s="8">
        <v>0.03</v>
      </c>
      <c r="G59" s="12">
        <v>267</v>
      </c>
      <c r="H59" s="8">
        <v>2.34</v>
      </c>
      <c r="I59" s="12">
        <v>1</v>
      </c>
    </row>
    <row r="60" spans="2:9" ht="15" customHeight="1" x14ac:dyDescent="0.2">
      <c r="B60" t="s">
        <v>160</v>
      </c>
      <c r="C60" s="12">
        <v>265</v>
      </c>
      <c r="D60" s="8">
        <v>1.81</v>
      </c>
      <c r="E60" s="12">
        <v>2</v>
      </c>
      <c r="F60" s="8">
        <v>0.06</v>
      </c>
      <c r="G60" s="12">
        <v>263</v>
      </c>
      <c r="H60" s="8">
        <v>2.31</v>
      </c>
      <c r="I60" s="12">
        <v>0</v>
      </c>
    </row>
    <row r="61" spans="2:9" ht="15" customHeight="1" x14ac:dyDescent="0.2">
      <c r="B61" t="s">
        <v>177</v>
      </c>
      <c r="C61" s="12">
        <v>264</v>
      </c>
      <c r="D61" s="8">
        <v>1.81</v>
      </c>
      <c r="E61" s="12">
        <v>8</v>
      </c>
      <c r="F61" s="8">
        <v>0.25</v>
      </c>
      <c r="G61" s="12">
        <v>255</v>
      </c>
      <c r="H61" s="8">
        <v>2.2400000000000002</v>
      </c>
      <c r="I61" s="12">
        <v>1</v>
      </c>
    </row>
    <row r="62" spans="2:9" ht="15" customHeight="1" x14ac:dyDescent="0.2">
      <c r="B62" t="s">
        <v>178</v>
      </c>
      <c r="C62" s="12">
        <v>246</v>
      </c>
      <c r="D62" s="8">
        <v>1.68</v>
      </c>
      <c r="E62" s="12">
        <v>15</v>
      </c>
      <c r="F62" s="8">
        <v>0.47</v>
      </c>
      <c r="G62" s="12">
        <v>231</v>
      </c>
      <c r="H62" s="8">
        <v>2.0299999999999998</v>
      </c>
      <c r="I62" s="12">
        <v>0</v>
      </c>
    </row>
    <row r="63" spans="2:9" ht="15" customHeight="1" x14ac:dyDescent="0.2">
      <c r="B63" t="s">
        <v>186</v>
      </c>
      <c r="C63" s="12">
        <v>244</v>
      </c>
      <c r="D63" s="8">
        <v>1.67</v>
      </c>
      <c r="E63" s="12">
        <v>9</v>
      </c>
      <c r="F63" s="8">
        <v>0.28000000000000003</v>
      </c>
      <c r="G63" s="12">
        <v>235</v>
      </c>
      <c r="H63" s="8">
        <v>2.06</v>
      </c>
      <c r="I63" s="12">
        <v>0</v>
      </c>
    </row>
    <row r="64" spans="2:9" ht="15" customHeight="1" x14ac:dyDescent="0.2">
      <c r="B64" t="s">
        <v>174</v>
      </c>
      <c r="C64" s="12">
        <v>205</v>
      </c>
      <c r="D64" s="8">
        <v>1.4</v>
      </c>
      <c r="E64" s="12">
        <v>160</v>
      </c>
      <c r="F64" s="8">
        <v>5</v>
      </c>
      <c r="G64" s="12">
        <v>45</v>
      </c>
      <c r="H64" s="8">
        <v>0.39</v>
      </c>
      <c r="I64" s="12">
        <v>0</v>
      </c>
    </row>
    <row r="65" spans="2:9" ht="15" customHeight="1" x14ac:dyDescent="0.2">
      <c r="B65" t="s">
        <v>185</v>
      </c>
      <c r="C65" s="12">
        <v>197</v>
      </c>
      <c r="D65" s="8">
        <v>1.35</v>
      </c>
      <c r="E65" s="12">
        <v>3</v>
      </c>
      <c r="F65" s="8">
        <v>0.09</v>
      </c>
      <c r="G65" s="12">
        <v>194</v>
      </c>
      <c r="H65" s="8">
        <v>1.7</v>
      </c>
      <c r="I65" s="12">
        <v>0</v>
      </c>
    </row>
    <row r="66" spans="2:9" ht="15" customHeight="1" x14ac:dyDescent="0.2">
      <c r="B66" t="s">
        <v>184</v>
      </c>
      <c r="C66" s="12">
        <v>185</v>
      </c>
      <c r="D66" s="8">
        <v>1.26</v>
      </c>
      <c r="E66" s="12">
        <v>11</v>
      </c>
      <c r="F66" s="8">
        <v>0.34</v>
      </c>
      <c r="G66" s="12">
        <v>174</v>
      </c>
      <c r="H66" s="8">
        <v>1.53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2CA6-5108-4A7D-987D-104940DFA7C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279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2">
      <c r="B5" t="s">
        <v>65</v>
      </c>
      <c r="C5" s="12">
        <v>9</v>
      </c>
      <c r="D5" s="8">
        <v>0.05</v>
      </c>
      <c r="E5" s="12">
        <v>0</v>
      </c>
      <c r="F5" s="8">
        <v>0</v>
      </c>
      <c r="G5" s="12">
        <v>9</v>
      </c>
      <c r="H5" s="8">
        <v>0.06</v>
      </c>
      <c r="I5" s="12">
        <v>0</v>
      </c>
    </row>
    <row r="6" spans="2:9" ht="15" customHeight="1" x14ac:dyDescent="0.2">
      <c r="B6" t="s">
        <v>66</v>
      </c>
      <c r="C6" s="12">
        <v>552</v>
      </c>
      <c r="D6" s="8">
        <v>3.15</v>
      </c>
      <c r="E6" s="12">
        <v>10</v>
      </c>
      <c r="F6" s="8">
        <v>0.31</v>
      </c>
      <c r="G6" s="12">
        <v>542</v>
      </c>
      <c r="H6" s="8">
        <v>3.8</v>
      </c>
      <c r="I6" s="12">
        <v>0</v>
      </c>
    </row>
    <row r="7" spans="2:9" ht="15" customHeight="1" x14ac:dyDescent="0.2">
      <c r="B7" t="s">
        <v>67</v>
      </c>
      <c r="C7" s="12">
        <v>710</v>
      </c>
      <c r="D7" s="8">
        <v>4.05</v>
      </c>
      <c r="E7" s="12">
        <v>43</v>
      </c>
      <c r="F7" s="8">
        <v>1.32</v>
      </c>
      <c r="G7" s="12">
        <v>666</v>
      </c>
      <c r="H7" s="8">
        <v>4.67</v>
      </c>
      <c r="I7" s="12">
        <v>1</v>
      </c>
    </row>
    <row r="8" spans="2:9" ht="15" customHeight="1" x14ac:dyDescent="0.2">
      <c r="B8" t="s">
        <v>68</v>
      </c>
      <c r="C8" s="12">
        <v>92</v>
      </c>
      <c r="D8" s="8">
        <v>0.52</v>
      </c>
      <c r="E8" s="12">
        <v>0</v>
      </c>
      <c r="F8" s="8">
        <v>0</v>
      </c>
      <c r="G8" s="12">
        <v>92</v>
      </c>
      <c r="H8" s="8">
        <v>0.65</v>
      </c>
      <c r="I8" s="12">
        <v>0</v>
      </c>
    </row>
    <row r="9" spans="2:9" ht="15" customHeight="1" x14ac:dyDescent="0.2">
      <c r="B9" t="s">
        <v>69</v>
      </c>
      <c r="C9" s="12">
        <v>1222</v>
      </c>
      <c r="D9" s="8">
        <v>6.97</v>
      </c>
      <c r="E9" s="12">
        <v>18</v>
      </c>
      <c r="F9" s="8">
        <v>0.55000000000000004</v>
      </c>
      <c r="G9" s="12">
        <v>1202</v>
      </c>
      <c r="H9" s="8">
        <v>8.44</v>
      </c>
      <c r="I9" s="12">
        <v>2</v>
      </c>
    </row>
    <row r="10" spans="2:9" ht="15" customHeight="1" x14ac:dyDescent="0.2">
      <c r="B10" t="s">
        <v>70</v>
      </c>
      <c r="C10" s="12">
        <v>262</v>
      </c>
      <c r="D10" s="8">
        <v>1.49</v>
      </c>
      <c r="E10" s="12">
        <v>5</v>
      </c>
      <c r="F10" s="8">
        <v>0.15</v>
      </c>
      <c r="G10" s="12">
        <v>256</v>
      </c>
      <c r="H10" s="8">
        <v>1.8</v>
      </c>
      <c r="I10" s="12">
        <v>0</v>
      </c>
    </row>
    <row r="11" spans="2:9" ht="15" customHeight="1" x14ac:dyDescent="0.2">
      <c r="B11" t="s">
        <v>71</v>
      </c>
      <c r="C11" s="12">
        <v>3102</v>
      </c>
      <c r="D11" s="8">
        <v>17.690000000000001</v>
      </c>
      <c r="E11" s="12">
        <v>260</v>
      </c>
      <c r="F11" s="8">
        <v>8.01</v>
      </c>
      <c r="G11" s="12">
        <v>2840</v>
      </c>
      <c r="H11" s="8">
        <v>19.93</v>
      </c>
      <c r="I11" s="12">
        <v>2</v>
      </c>
    </row>
    <row r="12" spans="2:9" ht="15" customHeight="1" x14ac:dyDescent="0.2">
      <c r="B12" t="s">
        <v>72</v>
      </c>
      <c r="C12" s="12">
        <v>162</v>
      </c>
      <c r="D12" s="8">
        <v>0.92</v>
      </c>
      <c r="E12" s="12">
        <v>0</v>
      </c>
      <c r="F12" s="8">
        <v>0</v>
      </c>
      <c r="G12" s="12">
        <v>162</v>
      </c>
      <c r="H12" s="8">
        <v>1.1399999999999999</v>
      </c>
      <c r="I12" s="12">
        <v>0</v>
      </c>
    </row>
    <row r="13" spans="2:9" ht="15" customHeight="1" x14ac:dyDescent="0.2">
      <c r="B13" t="s">
        <v>73</v>
      </c>
      <c r="C13" s="12">
        <v>2670</v>
      </c>
      <c r="D13" s="8">
        <v>15.22</v>
      </c>
      <c r="E13" s="12">
        <v>140</v>
      </c>
      <c r="F13" s="8">
        <v>4.3099999999999996</v>
      </c>
      <c r="G13" s="12">
        <v>2529</v>
      </c>
      <c r="H13" s="8">
        <v>17.75</v>
      </c>
      <c r="I13" s="12">
        <v>1</v>
      </c>
    </row>
    <row r="14" spans="2:9" ht="15" customHeight="1" x14ac:dyDescent="0.2">
      <c r="B14" t="s">
        <v>74</v>
      </c>
      <c r="C14" s="12">
        <v>3519</v>
      </c>
      <c r="D14" s="8">
        <v>20.07</v>
      </c>
      <c r="E14" s="12">
        <v>1159</v>
      </c>
      <c r="F14" s="8">
        <v>35.69</v>
      </c>
      <c r="G14" s="12">
        <v>2346</v>
      </c>
      <c r="H14" s="8">
        <v>16.46</v>
      </c>
      <c r="I14" s="12">
        <v>12</v>
      </c>
    </row>
    <row r="15" spans="2:9" ht="15" customHeight="1" x14ac:dyDescent="0.2">
      <c r="B15" t="s">
        <v>75</v>
      </c>
      <c r="C15" s="12">
        <v>2037</v>
      </c>
      <c r="D15" s="8">
        <v>11.61</v>
      </c>
      <c r="E15" s="12">
        <v>842</v>
      </c>
      <c r="F15" s="8">
        <v>25.93</v>
      </c>
      <c r="G15" s="12">
        <v>1195</v>
      </c>
      <c r="H15" s="8">
        <v>8.39</v>
      </c>
      <c r="I15" s="12">
        <v>0</v>
      </c>
    </row>
    <row r="16" spans="2:9" ht="15" customHeight="1" x14ac:dyDescent="0.2">
      <c r="B16" t="s">
        <v>76</v>
      </c>
      <c r="C16" s="12">
        <v>1178</v>
      </c>
      <c r="D16" s="8">
        <v>6.72</v>
      </c>
      <c r="E16" s="12">
        <v>304</v>
      </c>
      <c r="F16" s="8">
        <v>9.36</v>
      </c>
      <c r="G16" s="12">
        <v>873</v>
      </c>
      <c r="H16" s="8">
        <v>6.13</v>
      </c>
      <c r="I16" s="12">
        <v>1</v>
      </c>
    </row>
    <row r="17" spans="2:9" ht="15" customHeight="1" x14ac:dyDescent="0.2">
      <c r="B17" t="s">
        <v>77</v>
      </c>
      <c r="C17" s="12">
        <v>355</v>
      </c>
      <c r="D17" s="8">
        <v>2.02</v>
      </c>
      <c r="E17" s="12">
        <v>70</v>
      </c>
      <c r="F17" s="8">
        <v>2.16</v>
      </c>
      <c r="G17" s="12">
        <v>282</v>
      </c>
      <c r="H17" s="8">
        <v>1.98</v>
      </c>
      <c r="I17" s="12">
        <v>3</v>
      </c>
    </row>
    <row r="18" spans="2:9" ht="15" customHeight="1" x14ac:dyDescent="0.2">
      <c r="B18" t="s">
        <v>78</v>
      </c>
      <c r="C18" s="12">
        <v>612</v>
      </c>
      <c r="D18" s="8">
        <v>3.49</v>
      </c>
      <c r="E18" s="12">
        <v>362</v>
      </c>
      <c r="F18" s="8">
        <v>11.15</v>
      </c>
      <c r="G18" s="12">
        <v>249</v>
      </c>
      <c r="H18" s="8">
        <v>1.75</v>
      </c>
      <c r="I18" s="12">
        <v>1</v>
      </c>
    </row>
    <row r="19" spans="2:9" ht="15" customHeight="1" x14ac:dyDescent="0.2">
      <c r="B19" t="s">
        <v>79</v>
      </c>
      <c r="C19" s="12">
        <v>1056</v>
      </c>
      <c r="D19" s="8">
        <v>6.02</v>
      </c>
      <c r="E19" s="12">
        <v>34</v>
      </c>
      <c r="F19" s="8">
        <v>1.05</v>
      </c>
      <c r="G19" s="12">
        <v>1006</v>
      </c>
      <c r="H19" s="8">
        <v>7.06</v>
      </c>
      <c r="I19" s="12">
        <v>14</v>
      </c>
    </row>
    <row r="20" spans="2:9" ht="15" customHeight="1" x14ac:dyDescent="0.2">
      <c r="B20" s="9" t="s">
        <v>280</v>
      </c>
      <c r="C20" s="12">
        <f>SUM(LTBL_13103[総数／事業所数])</f>
        <v>17538</v>
      </c>
      <c r="E20" s="12">
        <f>SUBTOTAL(109,LTBL_13103[個人／事業所数])</f>
        <v>3247</v>
      </c>
      <c r="G20" s="12">
        <f>SUBTOTAL(109,LTBL_13103[法人／事業所数])</f>
        <v>14249</v>
      </c>
      <c r="I20" s="12">
        <f>SUBTOTAL(109,LTBL_13103[法人以外の団体／事業所数])</f>
        <v>37</v>
      </c>
    </row>
    <row r="21" spans="2:9" ht="15" customHeight="1" x14ac:dyDescent="0.2">
      <c r="E21" s="11">
        <f>LTBL_13103[[#Totals],[個人／事業所数]]/LTBL_13103[[#Totals],[総数／事業所数]]</f>
        <v>0.18514083703957121</v>
      </c>
      <c r="G21" s="11">
        <f>LTBL_13103[[#Totals],[法人／事業所数]]/LTBL_13103[[#Totals],[総数／事業所数]]</f>
        <v>0.81246436309727454</v>
      </c>
      <c r="I21" s="11">
        <f>LTBL_13103[[#Totals],[法人以外の団体／事業所数]]/LTBL_13103[[#Totals],[総数／事業所数]]</f>
        <v>2.1097046413502108E-3</v>
      </c>
    </row>
    <row r="23" spans="2:9" ht="33" customHeight="1" x14ac:dyDescent="0.2">
      <c r="B23" t="s">
        <v>281</v>
      </c>
      <c r="C23" s="10" t="s">
        <v>81</v>
      </c>
      <c r="D23" s="10" t="s">
        <v>82</v>
      </c>
      <c r="E23" s="10" t="s">
        <v>83</v>
      </c>
      <c r="F23" s="10" t="s">
        <v>84</v>
      </c>
      <c r="G23" s="10" t="s">
        <v>85</v>
      </c>
      <c r="H23" s="10" t="s">
        <v>86</v>
      </c>
      <c r="I23" s="10" t="s">
        <v>87</v>
      </c>
    </row>
    <row r="24" spans="2:9" ht="15" customHeight="1" x14ac:dyDescent="0.2">
      <c r="B24" t="s">
        <v>101</v>
      </c>
      <c r="C24" s="12">
        <v>2762</v>
      </c>
      <c r="D24" s="8">
        <v>15.75</v>
      </c>
      <c r="E24" s="12">
        <v>1107</v>
      </c>
      <c r="F24" s="8">
        <v>34.090000000000003</v>
      </c>
      <c r="G24" s="12">
        <v>1649</v>
      </c>
      <c r="H24" s="8">
        <v>11.57</v>
      </c>
      <c r="I24" s="12">
        <v>6</v>
      </c>
    </row>
    <row r="25" spans="2:9" ht="15" customHeight="1" x14ac:dyDescent="0.2">
      <c r="B25" t="s">
        <v>100</v>
      </c>
      <c r="C25" s="12">
        <v>1977</v>
      </c>
      <c r="D25" s="8">
        <v>11.27</v>
      </c>
      <c r="E25" s="12">
        <v>132</v>
      </c>
      <c r="F25" s="8">
        <v>4.07</v>
      </c>
      <c r="G25" s="12">
        <v>1844</v>
      </c>
      <c r="H25" s="8">
        <v>12.94</v>
      </c>
      <c r="I25" s="12">
        <v>1</v>
      </c>
    </row>
    <row r="26" spans="2:9" ht="15" customHeight="1" x14ac:dyDescent="0.2">
      <c r="B26" t="s">
        <v>103</v>
      </c>
      <c r="C26" s="12">
        <v>1917</v>
      </c>
      <c r="D26" s="8">
        <v>10.93</v>
      </c>
      <c r="E26" s="12">
        <v>835</v>
      </c>
      <c r="F26" s="8">
        <v>25.72</v>
      </c>
      <c r="G26" s="12">
        <v>1082</v>
      </c>
      <c r="H26" s="8">
        <v>7.59</v>
      </c>
      <c r="I26" s="12">
        <v>0</v>
      </c>
    </row>
    <row r="27" spans="2:9" ht="15" customHeight="1" x14ac:dyDescent="0.2">
      <c r="B27" t="s">
        <v>107</v>
      </c>
      <c r="C27" s="12">
        <v>799</v>
      </c>
      <c r="D27" s="8">
        <v>4.5599999999999996</v>
      </c>
      <c r="E27" s="12">
        <v>12</v>
      </c>
      <c r="F27" s="8">
        <v>0.37</v>
      </c>
      <c r="G27" s="12">
        <v>771</v>
      </c>
      <c r="H27" s="8">
        <v>5.41</v>
      </c>
      <c r="I27" s="12">
        <v>14</v>
      </c>
    </row>
    <row r="28" spans="2:9" ht="15" customHeight="1" x14ac:dyDescent="0.2">
      <c r="B28" t="s">
        <v>98</v>
      </c>
      <c r="C28" s="12">
        <v>642</v>
      </c>
      <c r="D28" s="8">
        <v>3.66</v>
      </c>
      <c r="E28" s="12">
        <v>123</v>
      </c>
      <c r="F28" s="8">
        <v>3.79</v>
      </c>
      <c r="G28" s="12">
        <v>519</v>
      </c>
      <c r="H28" s="8">
        <v>3.64</v>
      </c>
      <c r="I28" s="12">
        <v>0</v>
      </c>
    </row>
    <row r="29" spans="2:9" ht="15" customHeight="1" x14ac:dyDescent="0.2">
      <c r="B29" t="s">
        <v>99</v>
      </c>
      <c r="C29" s="12">
        <v>605</v>
      </c>
      <c r="D29" s="8">
        <v>3.45</v>
      </c>
      <c r="E29" s="12">
        <v>5</v>
      </c>
      <c r="F29" s="8">
        <v>0.15</v>
      </c>
      <c r="G29" s="12">
        <v>600</v>
      </c>
      <c r="H29" s="8">
        <v>4.21</v>
      </c>
      <c r="I29" s="12">
        <v>0</v>
      </c>
    </row>
    <row r="30" spans="2:9" ht="15" customHeight="1" x14ac:dyDescent="0.2">
      <c r="B30" t="s">
        <v>104</v>
      </c>
      <c r="C30" s="12">
        <v>598</v>
      </c>
      <c r="D30" s="8">
        <v>3.41</v>
      </c>
      <c r="E30" s="12">
        <v>273</v>
      </c>
      <c r="F30" s="8">
        <v>8.41</v>
      </c>
      <c r="G30" s="12">
        <v>325</v>
      </c>
      <c r="H30" s="8">
        <v>2.2799999999999998</v>
      </c>
      <c r="I30" s="12">
        <v>0</v>
      </c>
    </row>
    <row r="31" spans="2:9" ht="15" customHeight="1" x14ac:dyDescent="0.2">
      <c r="B31" t="s">
        <v>106</v>
      </c>
      <c r="C31" s="12">
        <v>518</v>
      </c>
      <c r="D31" s="8">
        <v>2.95</v>
      </c>
      <c r="E31" s="12">
        <v>358</v>
      </c>
      <c r="F31" s="8">
        <v>11.03</v>
      </c>
      <c r="G31" s="12">
        <v>159</v>
      </c>
      <c r="H31" s="8">
        <v>1.1200000000000001</v>
      </c>
      <c r="I31" s="12">
        <v>1</v>
      </c>
    </row>
    <row r="32" spans="2:9" ht="15" customHeight="1" x14ac:dyDescent="0.2">
      <c r="B32" t="s">
        <v>92</v>
      </c>
      <c r="C32" s="12">
        <v>510</v>
      </c>
      <c r="D32" s="8">
        <v>2.91</v>
      </c>
      <c r="E32" s="12">
        <v>14</v>
      </c>
      <c r="F32" s="8">
        <v>0.43</v>
      </c>
      <c r="G32" s="12">
        <v>494</v>
      </c>
      <c r="H32" s="8">
        <v>3.47</v>
      </c>
      <c r="I32" s="12">
        <v>2</v>
      </c>
    </row>
    <row r="33" spans="2:9" ht="15" customHeight="1" x14ac:dyDescent="0.2">
      <c r="B33" t="s">
        <v>91</v>
      </c>
      <c r="C33" s="12">
        <v>499</v>
      </c>
      <c r="D33" s="8">
        <v>2.85</v>
      </c>
      <c r="E33" s="12">
        <v>1</v>
      </c>
      <c r="F33" s="8">
        <v>0.03</v>
      </c>
      <c r="G33" s="12">
        <v>498</v>
      </c>
      <c r="H33" s="8">
        <v>3.49</v>
      </c>
      <c r="I33" s="12">
        <v>0</v>
      </c>
    </row>
    <row r="34" spans="2:9" ht="15" customHeight="1" x14ac:dyDescent="0.2">
      <c r="B34" t="s">
        <v>102</v>
      </c>
      <c r="C34" s="12">
        <v>439</v>
      </c>
      <c r="D34" s="8">
        <v>2.5</v>
      </c>
      <c r="E34" s="12">
        <v>48</v>
      </c>
      <c r="F34" s="8">
        <v>1.48</v>
      </c>
      <c r="G34" s="12">
        <v>388</v>
      </c>
      <c r="H34" s="8">
        <v>2.72</v>
      </c>
      <c r="I34" s="12">
        <v>1</v>
      </c>
    </row>
    <row r="35" spans="2:9" ht="15" customHeight="1" x14ac:dyDescent="0.2">
      <c r="B35" t="s">
        <v>93</v>
      </c>
      <c r="C35" s="12">
        <v>410</v>
      </c>
      <c r="D35" s="8">
        <v>2.34</v>
      </c>
      <c r="E35" s="12">
        <v>2</v>
      </c>
      <c r="F35" s="8">
        <v>0.06</v>
      </c>
      <c r="G35" s="12">
        <v>408</v>
      </c>
      <c r="H35" s="8">
        <v>2.86</v>
      </c>
      <c r="I35" s="12">
        <v>0</v>
      </c>
    </row>
    <row r="36" spans="2:9" ht="15" customHeight="1" x14ac:dyDescent="0.2">
      <c r="B36" t="s">
        <v>94</v>
      </c>
      <c r="C36" s="12">
        <v>398</v>
      </c>
      <c r="D36" s="8">
        <v>2.27</v>
      </c>
      <c r="E36" s="12">
        <v>8</v>
      </c>
      <c r="F36" s="8">
        <v>0.25</v>
      </c>
      <c r="G36" s="12">
        <v>390</v>
      </c>
      <c r="H36" s="8">
        <v>2.74</v>
      </c>
      <c r="I36" s="12">
        <v>0</v>
      </c>
    </row>
    <row r="37" spans="2:9" ht="15" customHeight="1" x14ac:dyDescent="0.2">
      <c r="B37" t="s">
        <v>105</v>
      </c>
      <c r="C37" s="12">
        <v>355</v>
      </c>
      <c r="D37" s="8">
        <v>2.02</v>
      </c>
      <c r="E37" s="12">
        <v>70</v>
      </c>
      <c r="F37" s="8">
        <v>2.16</v>
      </c>
      <c r="G37" s="12">
        <v>282</v>
      </c>
      <c r="H37" s="8">
        <v>1.98</v>
      </c>
      <c r="I37" s="12">
        <v>3</v>
      </c>
    </row>
    <row r="38" spans="2:9" ht="15" customHeight="1" x14ac:dyDescent="0.2">
      <c r="B38" t="s">
        <v>114</v>
      </c>
      <c r="C38" s="12">
        <v>338</v>
      </c>
      <c r="D38" s="8">
        <v>1.93</v>
      </c>
      <c r="E38" s="12">
        <v>17</v>
      </c>
      <c r="F38" s="8">
        <v>0.52</v>
      </c>
      <c r="G38" s="12">
        <v>320</v>
      </c>
      <c r="H38" s="8">
        <v>2.25</v>
      </c>
      <c r="I38" s="12">
        <v>1</v>
      </c>
    </row>
    <row r="39" spans="2:9" ht="15" customHeight="1" x14ac:dyDescent="0.2">
      <c r="B39" t="s">
        <v>95</v>
      </c>
      <c r="C39" s="12">
        <v>325</v>
      </c>
      <c r="D39" s="8">
        <v>1.85</v>
      </c>
      <c r="E39" s="12">
        <v>43</v>
      </c>
      <c r="F39" s="8">
        <v>1.32</v>
      </c>
      <c r="G39" s="12">
        <v>282</v>
      </c>
      <c r="H39" s="8">
        <v>1.98</v>
      </c>
      <c r="I39" s="12">
        <v>0</v>
      </c>
    </row>
    <row r="40" spans="2:9" ht="15" customHeight="1" x14ac:dyDescent="0.2">
      <c r="B40" t="s">
        <v>96</v>
      </c>
      <c r="C40" s="12">
        <v>320</v>
      </c>
      <c r="D40" s="8">
        <v>1.82</v>
      </c>
      <c r="E40" s="12">
        <v>57</v>
      </c>
      <c r="F40" s="8">
        <v>1.76</v>
      </c>
      <c r="G40" s="12">
        <v>263</v>
      </c>
      <c r="H40" s="8">
        <v>1.85</v>
      </c>
      <c r="I40" s="12">
        <v>0</v>
      </c>
    </row>
    <row r="41" spans="2:9" ht="15" customHeight="1" x14ac:dyDescent="0.2">
      <c r="B41" t="s">
        <v>110</v>
      </c>
      <c r="C41" s="12">
        <v>279</v>
      </c>
      <c r="D41" s="8">
        <v>1.59</v>
      </c>
      <c r="E41" s="12">
        <v>3</v>
      </c>
      <c r="F41" s="8">
        <v>0.09</v>
      </c>
      <c r="G41" s="12">
        <v>276</v>
      </c>
      <c r="H41" s="8">
        <v>1.94</v>
      </c>
      <c r="I41" s="12">
        <v>0</v>
      </c>
    </row>
    <row r="42" spans="2:9" ht="15" customHeight="1" x14ac:dyDescent="0.2">
      <c r="B42" t="s">
        <v>109</v>
      </c>
      <c r="C42" s="12">
        <v>261</v>
      </c>
      <c r="D42" s="8">
        <v>1.49</v>
      </c>
      <c r="E42" s="12">
        <v>9</v>
      </c>
      <c r="F42" s="8">
        <v>0.28000000000000003</v>
      </c>
      <c r="G42" s="12">
        <v>251</v>
      </c>
      <c r="H42" s="8">
        <v>1.76</v>
      </c>
      <c r="I42" s="12">
        <v>1</v>
      </c>
    </row>
    <row r="43" spans="2:9" ht="15" customHeight="1" x14ac:dyDescent="0.2">
      <c r="B43" t="s">
        <v>113</v>
      </c>
      <c r="C43" s="12">
        <v>247</v>
      </c>
      <c r="D43" s="8">
        <v>1.41</v>
      </c>
      <c r="E43" s="12">
        <v>2</v>
      </c>
      <c r="F43" s="8">
        <v>0.06</v>
      </c>
      <c r="G43" s="12">
        <v>245</v>
      </c>
      <c r="H43" s="8">
        <v>1.72</v>
      </c>
      <c r="I43" s="12">
        <v>0</v>
      </c>
    </row>
    <row r="46" spans="2:9" ht="33" customHeight="1" x14ac:dyDescent="0.2">
      <c r="B46" t="s">
        <v>282</v>
      </c>
      <c r="C46" s="10" t="s">
        <v>81</v>
      </c>
      <c r="D46" s="10" t="s">
        <v>82</v>
      </c>
      <c r="E46" s="10" t="s">
        <v>83</v>
      </c>
      <c r="F46" s="10" t="s">
        <v>84</v>
      </c>
      <c r="G46" s="10" t="s">
        <v>85</v>
      </c>
      <c r="H46" s="10" t="s">
        <v>86</v>
      </c>
      <c r="I46" s="10" t="s">
        <v>87</v>
      </c>
    </row>
    <row r="47" spans="2:9" ht="15" customHeight="1" x14ac:dyDescent="0.2">
      <c r="B47" t="s">
        <v>162</v>
      </c>
      <c r="C47" s="12">
        <v>786</v>
      </c>
      <c r="D47" s="8">
        <v>4.4800000000000004</v>
      </c>
      <c r="E47" s="12">
        <v>48</v>
      </c>
      <c r="F47" s="8">
        <v>1.48</v>
      </c>
      <c r="G47" s="12">
        <v>738</v>
      </c>
      <c r="H47" s="8">
        <v>5.18</v>
      </c>
      <c r="I47" s="12">
        <v>0</v>
      </c>
    </row>
    <row r="48" spans="2:9" ht="15" customHeight="1" x14ac:dyDescent="0.2">
      <c r="B48" t="s">
        <v>161</v>
      </c>
      <c r="C48" s="12">
        <v>721</v>
      </c>
      <c r="D48" s="8">
        <v>4.1100000000000003</v>
      </c>
      <c r="E48" s="12">
        <v>75</v>
      </c>
      <c r="F48" s="8">
        <v>2.31</v>
      </c>
      <c r="G48" s="12">
        <v>646</v>
      </c>
      <c r="H48" s="8">
        <v>4.53</v>
      </c>
      <c r="I48" s="12">
        <v>0</v>
      </c>
    </row>
    <row r="49" spans="2:9" ht="15" customHeight="1" x14ac:dyDescent="0.2">
      <c r="B49" t="s">
        <v>168</v>
      </c>
      <c r="C49" s="12">
        <v>714</v>
      </c>
      <c r="D49" s="8">
        <v>4.07</v>
      </c>
      <c r="E49" s="12">
        <v>271</v>
      </c>
      <c r="F49" s="8">
        <v>8.35</v>
      </c>
      <c r="G49" s="12">
        <v>443</v>
      </c>
      <c r="H49" s="8">
        <v>3.11</v>
      </c>
      <c r="I49" s="12">
        <v>0</v>
      </c>
    </row>
    <row r="50" spans="2:9" ht="15" customHeight="1" x14ac:dyDescent="0.2">
      <c r="B50" t="s">
        <v>166</v>
      </c>
      <c r="C50" s="12">
        <v>680</v>
      </c>
      <c r="D50" s="8">
        <v>3.88</v>
      </c>
      <c r="E50" s="12">
        <v>20</v>
      </c>
      <c r="F50" s="8">
        <v>0.62</v>
      </c>
      <c r="G50" s="12">
        <v>654</v>
      </c>
      <c r="H50" s="8">
        <v>4.59</v>
      </c>
      <c r="I50" s="12">
        <v>6</v>
      </c>
    </row>
    <row r="51" spans="2:9" ht="15" customHeight="1" x14ac:dyDescent="0.2">
      <c r="B51" t="s">
        <v>165</v>
      </c>
      <c r="C51" s="12">
        <v>661</v>
      </c>
      <c r="D51" s="8">
        <v>3.77</v>
      </c>
      <c r="E51" s="12">
        <v>10</v>
      </c>
      <c r="F51" s="8">
        <v>0.31</v>
      </c>
      <c r="G51" s="12">
        <v>651</v>
      </c>
      <c r="H51" s="8">
        <v>4.57</v>
      </c>
      <c r="I51" s="12">
        <v>0</v>
      </c>
    </row>
    <row r="52" spans="2:9" ht="15" customHeight="1" x14ac:dyDescent="0.2">
      <c r="B52" t="s">
        <v>182</v>
      </c>
      <c r="C52" s="12">
        <v>637</v>
      </c>
      <c r="D52" s="8">
        <v>3.63</v>
      </c>
      <c r="E52" s="12">
        <v>596</v>
      </c>
      <c r="F52" s="8">
        <v>18.36</v>
      </c>
      <c r="G52" s="12">
        <v>41</v>
      </c>
      <c r="H52" s="8">
        <v>0.28999999999999998</v>
      </c>
      <c r="I52" s="12">
        <v>0</v>
      </c>
    </row>
    <row r="53" spans="2:9" ht="15" customHeight="1" x14ac:dyDescent="0.2">
      <c r="B53" t="s">
        <v>176</v>
      </c>
      <c r="C53" s="12">
        <v>580</v>
      </c>
      <c r="D53" s="8">
        <v>3.31</v>
      </c>
      <c r="E53" s="12">
        <v>11</v>
      </c>
      <c r="F53" s="8">
        <v>0.34</v>
      </c>
      <c r="G53" s="12">
        <v>553</v>
      </c>
      <c r="H53" s="8">
        <v>3.88</v>
      </c>
      <c r="I53" s="12">
        <v>14</v>
      </c>
    </row>
    <row r="54" spans="2:9" ht="15" customHeight="1" x14ac:dyDescent="0.2">
      <c r="B54" t="s">
        <v>160</v>
      </c>
      <c r="C54" s="12">
        <v>437</v>
      </c>
      <c r="D54" s="8">
        <v>2.4900000000000002</v>
      </c>
      <c r="E54" s="12">
        <v>5</v>
      </c>
      <c r="F54" s="8">
        <v>0.15</v>
      </c>
      <c r="G54" s="12">
        <v>432</v>
      </c>
      <c r="H54" s="8">
        <v>3.03</v>
      </c>
      <c r="I54" s="12">
        <v>0</v>
      </c>
    </row>
    <row r="55" spans="2:9" ht="15" customHeight="1" x14ac:dyDescent="0.2">
      <c r="B55" t="s">
        <v>163</v>
      </c>
      <c r="C55" s="12">
        <v>431</v>
      </c>
      <c r="D55" s="8">
        <v>2.46</v>
      </c>
      <c r="E55" s="12">
        <v>8</v>
      </c>
      <c r="F55" s="8">
        <v>0.25</v>
      </c>
      <c r="G55" s="12">
        <v>422</v>
      </c>
      <c r="H55" s="8">
        <v>2.96</v>
      </c>
      <c r="I55" s="12">
        <v>1</v>
      </c>
    </row>
    <row r="56" spans="2:9" ht="15" customHeight="1" x14ac:dyDescent="0.2">
      <c r="B56" t="s">
        <v>169</v>
      </c>
      <c r="C56" s="12">
        <v>404</v>
      </c>
      <c r="D56" s="8">
        <v>2.2999999999999998</v>
      </c>
      <c r="E56" s="12">
        <v>209</v>
      </c>
      <c r="F56" s="8">
        <v>6.44</v>
      </c>
      <c r="G56" s="12">
        <v>195</v>
      </c>
      <c r="H56" s="8">
        <v>1.37</v>
      </c>
      <c r="I56" s="12">
        <v>0</v>
      </c>
    </row>
    <row r="57" spans="2:9" ht="15" customHeight="1" x14ac:dyDescent="0.2">
      <c r="B57" t="s">
        <v>157</v>
      </c>
      <c r="C57" s="12">
        <v>382</v>
      </c>
      <c r="D57" s="8">
        <v>2.1800000000000002</v>
      </c>
      <c r="E57" s="12">
        <v>0</v>
      </c>
      <c r="F57" s="8">
        <v>0</v>
      </c>
      <c r="G57" s="12">
        <v>382</v>
      </c>
      <c r="H57" s="8">
        <v>2.68</v>
      </c>
      <c r="I57" s="12">
        <v>0</v>
      </c>
    </row>
    <row r="58" spans="2:9" ht="15" customHeight="1" x14ac:dyDescent="0.2">
      <c r="B58" t="s">
        <v>164</v>
      </c>
      <c r="C58" s="12">
        <v>359</v>
      </c>
      <c r="D58" s="8">
        <v>2.0499999999999998</v>
      </c>
      <c r="E58" s="12">
        <v>317</v>
      </c>
      <c r="F58" s="8">
        <v>9.76</v>
      </c>
      <c r="G58" s="12">
        <v>42</v>
      </c>
      <c r="H58" s="8">
        <v>0.28999999999999998</v>
      </c>
      <c r="I58" s="12">
        <v>0</v>
      </c>
    </row>
    <row r="59" spans="2:9" ht="15" customHeight="1" x14ac:dyDescent="0.2">
      <c r="B59" t="s">
        <v>170</v>
      </c>
      <c r="C59" s="12">
        <v>346</v>
      </c>
      <c r="D59" s="8">
        <v>1.97</v>
      </c>
      <c r="E59" s="12">
        <v>208</v>
      </c>
      <c r="F59" s="8">
        <v>6.41</v>
      </c>
      <c r="G59" s="12">
        <v>138</v>
      </c>
      <c r="H59" s="8">
        <v>0.97</v>
      </c>
      <c r="I59" s="12">
        <v>0</v>
      </c>
    </row>
    <row r="60" spans="2:9" ht="15" customHeight="1" x14ac:dyDescent="0.2">
      <c r="B60" t="s">
        <v>159</v>
      </c>
      <c r="C60" s="12">
        <v>281</v>
      </c>
      <c r="D60" s="8">
        <v>1.6</v>
      </c>
      <c r="E60" s="12">
        <v>78</v>
      </c>
      <c r="F60" s="8">
        <v>2.4</v>
      </c>
      <c r="G60" s="12">
        <v>203</v>
      </c>
      <c r="H60" s="8">
        <v>1.42</v>
      </c>
      <c r="I60" s="12">
        <v>0</v>
      </c>
    </row>
    <row r="61" spans="2:9" ht="15" customHeight="1" x14ac:dyDescent="0.2">
      <c r="B61" t="s">
        <v>172</v>
      </c>
      <c r="C61" s="12">
        <v>266</v>
      </c>
      <c r="D61" s="8">
        <v>1.52</v>
      </c>
      <c r="E61" s="12">
        <v>136</v>
      </c>
      <c r="F61" s="8">
        <v>4.1900000000000004</v>
      </c>
      <c r="G61" s="12">
        <v>130</v>
      </c>
      <c r="H61" s="8">
        <v>0.91</v>
      </c>
      <c r="I61" s="12">
        <v>0</v>
      </c>
    </row>
    <row r="62" spans="2:9" ht="15" customHeight="1" x14ac:dyDescent="0.2">
      <c r="B62" t="s">
        <v>167</v>
      </c>
      <c r="C62" s="12">
        <v>254</v>
      </c>
      <c r="D62" s="8">
        <v>1.45</v>
      </c>
      <c r="E62" s="12">
        <v>22</v>
      </c>
      <c r="F62" s="8">
        <v>0.68</v>
      </c>
      <c r="G62" s="12">
        <v>231</v>
      </c>
      <c r="H62" s="8">
        <v>1.62</v>
      </c>
      <c r="I62" s="12">
        <v>0</v>
      </c>
    </row>
    <row r="63" spans="2:9" ht="15" customHeight="1" x14ac:dyDescent="0.2">
      <c r="B63" t="s">
        <v>174</v>
      </c>
      <c r="C63" s="12">
        <v>254</v>
      </c>
      <c r="D63" s="8">
        <v>1.45</v>
      </c>
      <c r="E63" s="12">
        <v>206</v>
      </c>
      <c r="F63" s="8">
        <v>6.34</v>
      </c>
      <c r="G63" s="12">
        <v>47</v>
      </c>
      <c r="H63" s="8">
        <v>0.33</v>
      </c>
      <c r="I63" s="12">
        <v>1</v>
      </c>
    </row>
    <row r="64" spans="2:9" ht="15" customHeight="1" x14ac:dyDescent="0.2">
      <c r="B64" t="s">
        <v>187</v>
      </c>
      <c r="C64" s="12">
        <v>249</v>
      </c>
      <c r="D64" s="8">
        <v>1.42</v>
      </c>
      <c r="E64" s="12">
        <v>29</v>
      </c>
      <c r="F64" s="8">
        <v>0.89</v>
      </c>
      <c r="G64" s="12">
        <v>220</v>
      </c>
      <c r="H64" s="8">
        <v>1.54</v>
      </c>
      <c r="I64" s="12">
        <v>0</v>
      </c>
    </row>
    <row r="65" spans="2:9" ht="15" customHeight="1" x14ac:dyDescent="0.2">
      <c r="B65" t="s">
        <v>183</v>
      </c>
      <c r="C65" s="12">
        <v>247</v>
      </c>
      <c r="D65" s="8">
        <v>1.41</v>
      </c>
      <c r="E65" s="12">
        <v>2</v>
      </c>
      <c r="F65" s="8">
        <v>0.06</v>
      </c>
      <c r="G65" s="12">
        <v>245</v>
      </c>
      <c r="H65" s="8">
        <v>1.72</v>
      </c>
      <c r="I65" s="12">
        <v>0</v>
      </c>
    </row>
    <row r="66" spans="2:9" ht="15" customHeight="1" x14ac:dyDescent="0.2">
      <c r="B66" t="s">
        <v>175</v>
      </c>
      <c r="C66" s="12">
        <v>246</v>
      </c>
      <c r="D66" s="8">
        <v>1.4</v>
      </c>
      <c r="E66" s="12">
        <v>152</v>
      </c>
      <c r="F66" s="8">
        <v>4.68</v>
      </c>
      <c r="G66" s="12">
        <v>94</v>
      </c>
      <c r="H66" s="8">
        <v>0.66</v>
      </c>
      <c r="I66" s="12">
        <v>0</v>
      </c>
    </row>
    <row r="68" spans="2:9" ht="15" customHeight="1" x14ac:dyDescent="0.2">
      <c r="B68" t="s">
        <v>283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69</vt:i4>
      </vt:variant>
      <vt:variant>
        <vt:lpstr>名前付き一覧</vt:lpstr>
      </vt:variant>
      <vt:variant>
        <vt:i4>3</vt:i4>
      </vt:variant>
    </vt:vector>
  </HeadingPairs>
  <TitlesOfParts>
    <vt:vector size="72" baseType="lpstr">
      <vt:lpstr>目次</vt:lpstr>
      <vt:lpstr>産業大分類</vt:lpstr>
      <vt:lpstr>産業中分類</vt:lpstr>
      <vt:lpstr>産業小分類</vt:lpstr>
      <vt:lpstr>東京都</vt:lpstr>
      <vt:lpstr>特別区部</vt:lpstr>
      <vt:lpstr>千代田区</vt:lpstr>
      <vt:lpstr>中央区</vt:lpstr>
      <vt:lpstr>港区</vt:lpstr>
      <vt:lpstr>新宿区</vt:lpstr>
      <vt:lpstr>文京区</vt:lpstr>
      <vt:lpstr>台東区</vt:lpstr>
      <vt:lpstr>墨田区</vt:lpstr>
      <vt:lpstr>江東区</vt:lpstr>
      <vt:lpstr>品川区</vt:lpstr>
      <vt:lpstr>目黒区</vt:lpstr>
      <vt:lpstr>大田区</vt:lpstr>
      <vt:lpstr>世田谷区</vt:lpstr>
      <vt:lpstr>渋谷区</vt:lpstr>
      <vt:lpstr>中野区</vt:lpstr>
      <vt:lpstr>杉並区</vt:lpstr>
      <vt:lpstr>豊島区</vt:lpstr>
      <vt:lpstr>北区</vt:lpstr>
      <vt:lpstr>荒川区</vt:lpstr>
      <vt:lpstr>板橋区</vt:lpstr>
      <vt:lpstr>練馬区</vt:lpstr>
      <vt:lpstr>足立区</vt:lpstr>
      <vt:lpstr>葛飾区</vt:lpstr>
      <vt:lpstr>江戸川区</vt:lpstr>
      <vt:lpstr>境界未定地域</vt:lpstr>
      <vt:lpstr>八王子市</vt:lpstr>
      <vt:lpstr>立川市</vt:lpstr>
      <vt:lpstr>武蔵野市</vt:lpstr>
      <vt:lpstr>三鷹市</vt:lpstr>
      <vt:lpstr>青梅市</vt:lpstr>
      <vt:lpstr>府中市</vt:lpstr>
      <vt:lpstr>昭島市</vt:lpstr>
      <vt:lpstr>調布市</vt:lpstr>
      <vt:lpstr>町田市</vt:lpstr>
      <vt:lpstr>小金井市</vt:lpstr>
      <vt:lpstr>小平市</vt:lpstr>
      <vt:lpstr>日野市</vt:lpstr>
      <vt:lpstr>東村山市</vt:lpstr>
      <vt:lpstr>国分寺市</vt:lpstr>
      <vt:lpstr>国立市</vt:lpstr>
      <vt:lpstr>福生市</vt:lpstr>
      <vt:lpstr>狛江市</vt:lpstr>
      <vt:lpstr>東大和市</vt:lpstr>
      <vt:lpstr>清瀬市</vt:lpstr>
      <vt:lpstr>東久留米市</vt:lpstr>
      <vt:lpstr>武蔵村山市</vt:lpstr>
      <vt:lpstr>多摩市</vt:lpstr>
      <vt:lpstr>稲城市</vt:lpstr>
      <vt:lpstr>羽村市</vt:lpstr>
      <vt:lpstr>あきる野市</vt:lpstr>
      <vt:lpstr>西東京市</vt:lpstr>
      <vt:lpstr>西多摩郡瑞穂町</vt:lpstr>
      <vt:lpstr>西多摩郡日の出町</vt:lpstr>
      <vt:lpstr>西多摩郡檜原村</vt:lpstr>
      <vt:lpstr>西多摩郡奥多摩町</vt:lpstr>
      <vt:lpstr>大島支庁大島町</vt:lpstr>
      <vt:lpstr>大島支庁利島村</vt:lpstr>
      <vt:lpstr>大島支庁新島村</vt:lpstr>
      <vt:lpstr>大島支庁神津島村</vt:lpstr>
      <vt:lpstr>三宅支庁三宅村</vt:lpstr>
      <vt:lpstr>三宅支庁御蔵島村</vt:lpstr>
      <vt:lpstr>八丈支庁八丈町</vt:lpstr>
      <vt:lpstr>八丈支庁青ヶ島村</vt:lpstr>
      <vt:lpstr>小笠原支庁小笠原村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2023-08-17T02:22:18Z</dcterms:created>
  <dcterms:modified xsi:type="dcterms:W3CDTF">2023-08-17T02:22:18Z</dcterms:modified>
</cp:coreProperties>
</file>